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15" activeTab="0"/>
  </bookViews>
  <sheets>
    <sheet name="表紙" sheetId="1" r:id="rId1"/>
    <sheet name="報告書" sheetId="2" r:id="rId2"/>
    <sheet name="チェックリスト" sheetId="3" r:id="rId3"/>
    <sheet name="総合判定計算書" sheetId="4" r:id="rId4"/>
    <sheet name="写真" sheetId="5" r:id="rId5"/>
    <sheet name="注意事項" sheetId="6" r:id="rId6"/>
    <sheet name="改修劣化" sheetId="7" r:id="rId7"/>
    <sheet name="改修計算書" sheetId="8" r:id="rId8"/>
    <sheet name="補強計画表紙" sheetId="9" r:id="rId9"/>
    <sheet name="補強計画" sheetId="10" r:id="rId10"/>
    <sheet name="補強案計算書" sheetId="11" r:id="rId11"/>
  </sheets>
  <definedNames>
    <definedName name="_xlnm.Print_Area" localSheetId="2">'チェックリスト'!$A$1:$N$147</definedName>
    <definedName name="_xlnm.Print_Area" localSheetId="7">'改修計算書'!$A$1:$K$50</definedName>
    <definedName name="_xlnm.Print_Area" localSheetId="6">'改修劣化'!$A$1:$N$50</definedName>
    <definedName name="_xlnm.Print_Area" localSheetId="4">'写真'!$A$1:$L$94</definedName>
    <definedName name="_xlnm.Print_Area" localSheetId="3">'総合判定計算書'!$A$1:$K$50</definedName>
    <definedName name="_xlnm.Print_Area" localSheetId="5">'注意事項'!$A$1:$B$30</definedName>
    <definedName name="_xlnm.Print_Area" localSheetId="0">'表紙'!$A$1:$L$46</definedName>
    <definedName name="_xlnm.Print_Area" localSheetId="10">'補強案計算書'!$A$1:$K$50</definedName>
    <definedName name="_xlnm.Print_Area" localSheetId="9">'補強計画'!$A$1:$O$52</definedName>
    <definedName name="_xlnm.Print_Area" localSheetId="8">'補強計画表紙'!$A$1:$L$46</definedName>
    <definedName name="_xlnm.Print_Area" localSheetId="1">'報告書'!$A$1:$L$50</definedName>
  </definedNames>
  <calcPr fullCalcOnLoad="1"/>
</workbook>
</file>

<file path=xl/sharedStrings.xml><?xml version="1.0" encoding="utf-8"?>
<sst xmlns="http://schemas.openxmlformats.org/spreadsheetml/2006/main" count="1379" uniqueCount="748">
  <si>
    <t>火災、ボヤ（焼失部分チェック）</t>
  </si>
  <si>
    <t>車の突入事故（損傷箇所チェック）</t>
  </si>
  <si>
    <t>増築工事</t>
  </si>
  <si>
    <t>改造工事</t>
  </si>
  <si>
    <t>補修工事</t>
  </si>
  <si>
    <t>用途変更</t>
  </si>
  <si>
    <t>土塗り壁の有無</t>
  </si>
  <si>
    <t>筋かいは入っていた</t>
  </si>
  <si>
    <t>土塗り壁は不明</t>
  </si>
  <si>
    <t>白蟻被害は無い。</t>
  </si>
  <si>
    <t>施工状況は不明である。</t>
  </si>
  <si>
    <t>横架材間に施工されていない場所が多く見られる。</t>
  </si>
  <si>
    <t>土塗り壁の施工状況</t>
  </si>
  <si>
    <t>４ｍ以上の吹き抜け無し</t>
  </si>
  <si>
    <t>４ｍ以上の吹き抜け有り</t>
  </si>
  <si>
    <t>床面積はｗｅｅの計算出力「３．必要耐力の算出」のＡから転記する</t>
  </si>
  <si>
    <t>「８．上部構造評点」から転記(対象外部分は空欄とする)</t>
  </si>
  <si>
    <t>その他事項</t>
  </si>
  <si>
    <t>部位等</t>
  </si>
  <si>
    <t>調査内容</t>
  </si>
  <si>
    <t>調査実施・不可</t>
  </si>
  <si>
    <t>擁壁の傾斜、亀裂の有無</t>
  </si>
  <si>
    <t>筋かい端部</t>
  </si>
  <si>
    <t>擁壁無し</t>
  </si>
  <si>
    <t>擁壁傾斜有</t>
  </si>
  <si>
    <t>崖壁傾斜有</t>
  </si>
  <si>
    <t>擁壁亀裂有</t>
  </si>
  <si>
    <t>崖壁亀裂有</t>
  </si>
  <si>
    <t>擁壁ﾊﾗﾐ有</t>
  </si>
  <si>
    <t>崖壁ﾊﾗﾐ有</t>
  </si>
  <si>
    <t>崖無し</t>
  </si>
  <si>
    <t>擁壁健全</t>
  </si>
  <si>
    <t>崖壁健全</t>
  </si>
  <si>
    <t>併用住宅</t>
  </si>
  <si>
    <t>床が傾いている場所がある。</t>
  </si>
  <si>
    <t>不明</t>
  </si>
  <si>
    <t>配置低減 E</t>
  </si>
  <si>
    <t>劣化度 D</t>
  </si>
  <si>
    <t>ver</t>
  </si>
  <si>
    <t>Ｚ</t>
  </si>
  <si>
    <t>Ｚ＝1.0</t>
  </si>
  <si>
    <t>Ｚ＝0.9</t>
  </si>
  <si>
    <t>Ｘ</t>
  </si>
  <si>
    <t>Ｙ</t>
  </si>
  <si>
    <t>歩くと床が揺れる場所がある。</t>
  </si>
  <si>
    <t>建具の建て付けが悪くなっている場所がある。</t>
  </si>
  <si>
    <t>判定するものです。「倒壊する可能性がある」、「倒壊する可能性が高い」</t>
  </si>
  <si>
    <t>　また、「倒壊しない」、「一応倒壊しない」と判定された場合は、住宅に</t>
  </si>
  <si>
    <t>南部地震でも建物は無事でありながら、家具の転倒などによる犠牲者も多数で</t>
  </si>
  <si>
    <t>柱、梁で腐っている場所がある。</t>
  </si>
  <si>
    <t>基礎の種類</t>
  </si>
  <si>
    <t>年</t>
  </si>
  <si>
    <t>月</t>
  </si>
  <si>
    <t>日</t>
  </si>
  <si>
    <t>築年数</t>
  </si>
  <si>
    <t>賃貸住宅</t>
  </si>
  <si>
    <t>１階に店舗</t>
  </si>
  <si>
    <t>１階に事務所</t>
  </si>
  <si>
    <t>床面積</t>
  </si>
  <si>
    <t>様</t>
  </si>
  <si>
    <t>1.0以上1.5未満</t>
  </si>
  <si>
    <t>1.5以上</t>
  </si>
  <si>
    <t>0.7以上1.0未満</t>
  </si>
  <si>
    <t>0.7未満</t>
  </si>
  <si>
    <t>ver</t>
  </si>
  <si>
    <t>床下浸水、床上浸水</t>
  </si>
  <si>
    <t>火災、ボヤ</t>
  </si>
  <si>
    <t>土塗り壁有り</t>
  </si>
  <si>
    <t>土塗り壁無し</t>
  </si>
  <si>
    <t>地盤状況</t>
  </si>
  <si>
    <t>地盤の状況は不明である。</t>
  </si>
  <si>
    <t>1.2ｍを超えるブロック塀の有無</t>
  </si>
  <si>
    <t>1.2ｍを超えるﾌﾞﾛｯｸ塀無し</t>
  </si>
  <si>
    <t>1.2ｍを超えるﾌﾞﾛｯｸ塀に控え壁有り</t>
  </si>
  <si>
    <t>1.2ｍを超えるﾌﾞﾛｯｸ塀に控え壁無し</t>
  </si>
  <si>
    <t>建物周囲の状況</t>
  </si>
  <si>
    <t>木造住宅耐震診断報告書</t>
  </si>
  <si>
    <t>調査年月日</t>
  </si>
  <si>
    <t>洪積台地または同等以上の地盤</t>
  </si>
  <si>
    <t>所属建築士事務所</t>
  </si>
  <si>
    <t>住所</t>
  </si>
  <si>
    <t>TEL</t>
  </si>
  <si>
    <t>FAX</t>
  </si>
  <si>
    <t>耐震診断員</t>
  </si>
  <si>
    <t>２,配置低減に対する所見（床仕様、４分割法、吹き抜け）</t>
  </si>
  <si>
    <t>Ａ上部構造の評価</t>
  </si>
  <si>
    <t>Ｂ，　　　　地盤の評価</t>
  </si>
  <si>
    <t>Ｃ基礎の評価</t>
  </si>
  <si>
    <t>用途等</t>
  </si>
  <si>
    <t>長屋・共同</t>
  </si>
  <si>
    <t>一部ＲＣ、ブロック造（浴室等）</t>
  </si>
  <si>
    <t>平面的に異種構造部分を有するが、木造部分で独立している。</t>
  </si>
  <si>
    <t>伝統構法調査内容</t>
  </si>
  <si>
    <t>あなたのご自宅の耐震診断を実施いたしました。結果は次の通りです。なお、この報告は調</t>
  </si>
  <si>
    <t>特記事項</t>
  </si>
  <si>
    <t>構造</t>
  </si>
  <si>
    <t>壁</t>
  </si>
  <si>
    <t>年度市町村名－受付番号</t>
  </si>
  <si>
    <t>調査年を入力しないと表示がおかしくなる</t>
  </si>
  <si>
    <t>地盤状況の特定は、診断には影響しない。報告書P1に転記されるだけである。</t>
  </si>
  <si>
    <t>壁仕様の特定および計算方法（覚え書きであり、計算には影響しない</t>
  </si>
  <si>
    <t>白地にするには下記枠内数値を消去するか０を入力</t>
  </si>
  <si>
    <t>基礎形式は不明</t>
  </si>
  <si>
    <t>鉄筋の有無が不明な場合は無筋コンクリート布基礎として扱う。</t>
  </si>
  <si>
    <t>白蟻被害を受けたが、駆除し、被害部分の補強を行った。</t>
  </si>
  <si>
    <t>白蟻については記憶がない。</t>
  </si>
  <si>
    <t>防災協会プログラムバージョン</t>
  </si>
  <si>
    <t>方向</t>
  </si>
  <si>
    <t>構造的特記事項</t>
  </si>
  <si>
    <t>その他気になる場所がある</t>
  </si>
  <si>
    <t>白地にするには下記枠内数値に０を入力</t>
  </si>
  <si>
    <t>市町村受付年月日</t>
  </si>
  <si>
    <t>雨漏りしている場所がある。</t>
  </si>
  <si>
    <t>柱寸法</t>
  </si>
  <si>
    <t>申込者氏名</t>
  </si>
  <si>
    <t>申込者住所</t>
  </si>
  <si>
    <t>工事内容</t>
  </si>
  <si>
    <t>工事の有無</t>
  </si>
  <si>
    <t>施工年</t>
  </si>
  <si>
    <t>工事種別</t>
  </si>
  <si>
    <t>－( ３ )－</t>
  </si>
  <si>
    <t>－( ４ )－</t>
  </si>
  <si>
    <t>柱半間ｽﾊﾟﾝ・柱小径</t>
  </si>
  <si>
    <t>柱小径</t>
  </si>
  <si>
    <t>半間ｽﾊﾟﾝ</t>
  </si>
  <si>
    <t>床面積は総合判定計算書から転記されます。</t>
  </si>
  <si>
    <t>写真</t>
  </si>
  <si>
    <t>審査欄</t>
  </si>
  <si>
    <t>■耐震診断報告書</t>
  </si>
  <si>
    <t>■建物概要</t>
  </si>
  <si>
    <t>所有区分</t>
  </si>
  <si>
    <t>持家</t>
  </si>
  <si>
    <t>住宅金融公庫融資有無</t>
  </si>
  <si>
    <t>１，金融公庫融資有り</t>
  </si>
  <si>
    <t>２，金融公庫融資無し</t>
  </si>
  <si>
    <t>■聞き取り調査チェックリスト</t>
  </si>
  <si>
    <t>■総合判定計算書</t>
  </si>
  <si>
    <t>■注意事項</t>
  </si>
  <si>
    <t>増築・改造等工事</t>
  </si>
  <si>
    <t>聞き取り調査、付近の地盤図を参考にして診断員が判断する</t>
  </si>
  <si>
    <t>計算方法</t>
  </si>
  <si>
    <t>　この診断は大規模な地震に対して木造住宅がどの程度の安全性があるかを</t>
  </si>
  <si>
    <t>と判定された場合は補強改修等の対策を講じる必要があります。</t>
  </si>
  <si>
    <t>して人命が失われるほどの被害は受けないという意味です。</t>
  </si>
  <si>
    <t>被害がないということではなく、建物に損傷を受けることはあっても、倒壊</t>
  </si>
  <si>
    <t>劣化による低減係数≧0.7、１－（劣化点数／存在点数）=</t>
  </si>
  <si>
    <t>　また、この診断は住宅の工事が良好に行われ、かつ、適切に維持管理され</t>
  </si>
  <si>
    <t>ていて部分的な欠陥がないことを前提としていますので、総合判定が高くて</t>
  </si>
  <si>
    <t>推計に基づき診断を行いますので、診断結果は幅を持ってとらえてください。</t>
  </si>
  <si>
    <t>　また、図面などの資料が無く、建物の状況が十分に把握できない場合は、</t>
  </si>
  <si>
    <t>ど、地震により影響は異なります。</t>
  </si>
  <si>
    <t>　また、特定の地震に対する判定ではありませんので、震源地からの距離な</t>
  </si>
  <si>
    <t>　この診断は、あくまで、建物自体を対象としたものでありますが、兵庫県</t>
  </si>
  <si>
    <t>借家</t>
  </si>
  <si>
    <t>耐震診断員登録番号</t>
  </si>
  <si>
    <t>壁強さは、壁の量で決定されるが両方向共、必要耐力に対して不足しています。</t>
  </si>
  <si>
    <t>１／４に分割した検討では、負担重量に対して壁の量が不足しているゾーンがあることから、壁配置による低減が生じています。</t>
  </si>
  <si>
    <t>現地調査の結果、柱梁に腐朽を生じさせる事象が多く見られることから劣化度による低減が生じており、詳細な調査を行うことが望まれます。</t>
  </si>
  <si>
    <t>診断方法の選定</t>
  </si>
  <si>
    <t>ｍｍ</t>
  </si>
  <si>
    <t>地盤状況の特定</t>
  </si>
  <si>
    <t>たれ壁の配置</t>
  </si>
  <si>
    <t>たれ壁の厚さ</t>
  </si>
  <si>
    <t>■診断方法の選定チェックリストおよび現地調査</t>
  </si>
  <si>
    <t>横架材間に良好に施工されている</t>
  </si>
  <si>
    <t>外壁は良好な施工だが、内壁は天井までの施工である。</t>
  </si>
  <si>
    <t>出力においてページがずれる場合は、</t>
  </si>
  <si>
    <t>余白寸法で調整してください。</t>
  </si>
  <si>
    <t>印刷プレビューにおいて設定項目の</t>
  </si>
  <si>
    <t>プログラムは保護を設定していますが、暗証番号無しで解除できます</t>
  </si>
  <si>
    <t>リンク部分があるので、できるだけ解除せずに使用してください。</t>
  </si>
  <si>
    <t>所見欄の寸法、文字サイズを変更したい場合は保護を解除してください</t>
  </si>
  <si>
    <t>10年未満</t>
  </si>
  <si>
    <t>10年以上</t>
  </si>
  <si>
    <t>調査</t>
  </si>
  <si>
    <t>樋</t>
  </si>
  <si>
    <t>Ｑ</t>
  </si>
  <si>
    <t>Ｒ</t>
  </si>
  <si>
    <t>Ｓ</t>
  </si>
  <si>
    <t>Ｔ</t>
  </si>
  <si>
    <t>Ｕ</t>
  </si>
  <si>
    <t>窯業系ｻｲﾃﾞｨﾝｸﾞ</t>
  </si>
  <si>
    <t>金属系ｻｲﾃﾞｨﾝｸﾞ</t>
  </si>
  <si>
    <t>モルタル</t>
  </si>
  <si>
    <t>外壁仕上げ</t>
  </si>
  <si>
    <t>露出した躯体</t>
  </si>
  <si>
    <t>外壁との接合部</t>
  </si>
  <si>
    <t>手摺り壁</t>
  </si>
  <si>
    <t>バルコニー</t>
  </si>
  <si>
    <t>床排水</t>
  </si>
  <si>
    <t>木製板・合板</t>
  </si>
  <si>
    <t>一般室</t>
  </si>
  <si>
    <t>内壁、窓下</t>
  </si>
  <si>
    <t>タイル壁</t>
  </si>
  <si>
    <t>タイル以外</t>
  </si>
  <si>
    <t>浴室</t>
  </si>
  <si>
    <t>内壁</t>
  </si>
  <si>
    <t>床面</t>
  </si>
  <si>
    <t>廊下</t>
  </si>
  <si>
    <t>床下</t>
  </si>
  <si>
    <t>床</t>
  </si>
  <si>
    <t>合計</t>
  </si>
  <si>
    <t>大型車通行時に揺れが大きい</t>
  </si>
  <si>
    <t>も部分的な欠陥がある場合はその補修等の検討が必要となります。</t>
  </si>
  <si>
    <t>白蟻被害を受けたが、駆除のみ行った。(被害を受けている）</t>
  </si>
  <si>
    <t>白蟻被害を受けている。</t>
  </si>
  <si>
    <t>軽い建物</t>
  </si>
  <si>
    <t>重い建物</t>
  </si>
  <si>
    <t>非常に重い建物</t>
  </si>
  <si>
    <t>平屋建て</t>
  </si>
  <si>
    <t>２階建て</t>
  </si>
  <si>
    <t>２階</t>
  </si>
  <si>
    <t>１階</t>
  </si>
  <si>
    <t>３階建て</t>
  </si>
  <si>
    <t>３階</t>
  </si>
  <si>
    <t>1軽い建物</t>
  </si>
  <si>
    <t>2重い建物</t>
  </si>
  <si>
    <t>3非常に重い建物</t>
  </si>
  <si>
    <t>土葺き瓦屋根(非常に重い建物）</t>
  </si>
  <si>
    <t>桟瓦葺き(重い建物)</t>
  </si>
  <si>
    <t>ｻｲﾃﾞｨﾝｸﾞ(鉄板)</t>
  </si>
  <si>
    <t>■劣化度による低減係数</t>
  </si>
  <si>
    <t>屋根葺き材</t>
  </si>
  <si>
    <t>金属版</t>
  </si>
  <si>
    <t>瓦・ｽﾚｰﾄ</t>
  </si>
  <si>
    <t>軒・呼び樋</t>
  </si>
  <si>
    <t>竪樋</t>
  </si>
  <si>
    <t>材料・部材</t>
  </si>
  <si>
    <t>劣化事象</t>
  </si>
  <si>
    <t>存在点数</t>
  </si>
  <si>
    <t>劣化点数</t>
  </si>
  <si>
    <t>土塗り壁</t>
  </si>
  <si>
    <t>－( １ )－</t>
  </si>
  <si>
    <t>Ｘ</t>
  </si>
  <si>
    <t>Ｙ</t>
  </si>
  <si>
    <t>P(kN)</t>
  </si>
  <si>
    <t>建物保有耐力</t>
  </si>
  <si>
    <t>Pd=P×E×D</t>
  </si>
  <si>
    <t>必要耐力</t>
  </si>
  <si>
    <t>上部構造評点</t>
  </si>
  <si>
    <t>Qr(kN)</t>
  </si>
  <si>
    <t>上部構造</t>
  </si>
  <si>
    <t>上部構造評点のめやす</t>
  </si>
  <si>
    <t>最小値＝</t>
  </si>
  <si>
    <t>木造、非木造</t>
  </si>
  <si>
    <t>全階木造</t>
  </si>
  <si>
    <t>床仕様</t>
  </si>
  <si>
    <t>Ⅰ健全な鉄筋コンクリートの布基礎またはべた基礎</t>
  </si>
  <si>
    <t>床下の状況</t>
  </si>
  <si>
    <t>一般診断法も調査が必要です。</t>
  </si>
  <si>
    <t>吹き抜け</t>
  </si>
  <si>
    <t>筋かい端部金物</t>
  </si>
  <si>
    <t>有り</t>
  </si>
  <si>
    <t>無し</t>
  </si>
  <si>
    <t>柱梁接合仕様および筋かい端部金物</t>
  </si>
  <si>
    <t>床下の状況不明</t>
  </si>
  <si>
    <t>Ⅲその他（玉石・石積み・ブロック）</t>
  </si>
  <si>
    <t>１階は鉄骨造またはＲＣ造</t>
  </si>
  <si>
    <t>筋かいは入っていない</t>
  </si>
  <si>
    <t>筋かいは不明</t>
  </si>
  <si>
    <t>○４ｍ以上の吹き抜けの有無　配置低減要素で床仕様を１ランク下げる</t>
  </si>
  <si>
    <t>建物の構造</t>
  </si>
  <si>
    <t>壁を主な耐震要素とした。　　　方法１</t>
  </si>
  <si>
    <t>３階床面積</t>
  </si>
  <si>
    <t>２階床面積</t>
  </si>
  <si>
    <t>１階床面積</t>
  </si>
  <si>
    <t>４ｍ以上の吹き抜けあり</t>
  </si>
  <si>
    <t>床板は原則として最下位の仕様とするが、上階でゆとりがある場合は、２階床の仕様とする。</t>
  </si>
  <si>
    <t>Ⅲ　火打ちなし　床倍率0.39</t>
  </si>
  <si>
    <t>Ⅱ　火打ち+荒板 床倍率0.63</t>
  </si>
  <si>
    <t>Ⅰ　合板　　　  床倍率1.00</t>
  </si>
  <si>
    <t>接合部Ⅳ　ほぞ差し,釘打ち,かすがい等</t>
  </si>
  <si>
    <t>－( ２ )－</t>
  </si>
  <si>
    <t>接合部Ⅰ　平12建告1460号に適合仕様</t>
  </si>
  <si>
    <t>接合部Ⅱ　羽子板ボルト,CP-L,込み栓</t>
  </si>
  <si>
    <t>接合部Ⅲ　ほぞ差,かすがい(両端通し柱)</t>
  </si>
  <si>
    <t>接合仕様</t>
  </si>
  <si>
    <t>－( ５ )－</t>
  </si>
  <si>
    <t>倒壊しない</t>
  </si>
  <si>
    <t>一応倒壊しない</t>
  </si>
  <si>
    <t>倒壊する可能性がある</t>
  </si>
  <si>
    <t>倒壊する可能性が高い</t>
  </si>
  <si>
    <t>良い地盤</t>
  </si>
  <si>
    <t>悪い地盤</t>
  </si>
  <si>
    <t>液状化の可能性がある地盤</t>
  </si>
  <si>
    <t>３０ｍより深い沖積層</t>
  </si>
  <si>
    <t>３０ｍ以浅の沖積層</t>
  </si>
  <si>
    <t>洪積台地、同等地盤</t>
  </si>
  <si>
    <t>丘陵地の盛土地</t>
  </si>
  <si>
    <t>海、川、池、沼、水田等の埋立地</t>
  </si>
  <si>
    <t>敷地の沈下や擁壁にひび割れ、倒れが有る</t>
  </si>
  <si>
    <t>補強計画における参考資料　壁倍率による低減係数　補強部分</t>
  </si>
  <si>
    <t>基礎分類1：3</t>
  </si>
  <si>
    <t>接合部仕様1：4</t>
  </si>
  <si>
    <t>耐力低減係数</t>
  </si>
  <si>
    <t>上部構造評点（転記）(対象外部分は空欄とする)</t>
  </si>
  <si>
    <t>その他注意事項</t>
  </si>
  <si>
    <t>診断申込者</t>
  </si>
  <si>
    <t>［申込者用・市町村用・受託団体用・診断員用］</t>
  </si>
  <si>
    <t>金物は不明であり接合部Ⅳとする</t>
  </si>
  <si>
    <t>床仕様が不明でありⅢとする　</t>
  </si>
  <si>
    <t>崖地、盛土地で擁壁に異常がある地盤</t>
  </si>
  <si>
    <t>現地調査項目についての記録</t>
  </si>
  <si>
    <t>足固め有り</t>
  </si>
  <si>
    <t>足固め無し</t>
  </si>
  <si>
    <t>１階は、RC造or鉄骨造</t>
  </si>
  <si>
    <t>建物の種類</t>
  </si>
  <si>
    <t>壁耐力計算方法</t>
  </si>
  <si>
    <t>図面があり、壁仕様を特定して診断</t>
  </si>
  <si>
    <t>評点</t>
  </si>
  <si>
    <t>強さ</t>
  </si>
  <si>
    <t>必要耐力　Qr(kN)</t>
  </si>
  <si>
    <t>床面積(m2)</t>
  </si>
  <si>
    <t>ver</t>
  </si>
  <si>
    <t>Ｘ</t>
  </si>
  <si>
    <t>Ｙ</t>
  </si>
  <si>
    <t>Ｚ＝1.0</t>
  </si>
  <si>
    <t>Ｚ＝0.9</t>
  </si>
  <si>
    <t>■改修設計計算書</t>
  </si>
  <si>
    <t>木造最下階</t>
  </si>
  <si>
    <t>床仕様は２階床、または屋根面の仕様とする。</t>
  </si>
  <si>
    <t>木造最下階転記用データ</t>
  </si>
  <si>
    <t>１階が非木造の場合は、２階、３階に入力して下さい。</t>
  </si>
  <si>
    <t>良い地盤　洪積台地、同等の地盤</t>
  </si>
  <si>
    <t>１－（劣化点数／存在点数）=</t>
  </si>
  <si>
    <t>"=+チェックリスト!U18</t>
  </si>
  <si>
    <t>床仕様は、覚え書きであり、エクセル上では影響していない。</t>
  </si>
  <si>
    <t>接合仕様は、覚え書きであり、エクセル上では影響していない。</t>
  </si>
  <si>
    <t>"地域係数Z</t>
  </si>
  <si>
    <t>Ｚ</t>
  </si>
  <si>
    <t>ってください。</t>
  </si>
  <si>
    <t>ましたので、建物の耐震化と同時に、家具の転倒防止などについてもぜひ行</t>
  </si>
  <si>
    <t>印</t>
  </si>
  <si>
    <t>構造</t>
  </si>
  <si>
    <t>建物名称</t>
  </si>
  <si>
    <t>設計図書の有無</t>
  </si>
  <si>
    <t>白蟻</t>
  </si>
  <si>
    <t>３、図面はない</t>
  </si>
  <si>
    <t>居間増築</t>
  </si>
  <si>
    <t>台所改造</t>
  </si>
  <si>
    <t>白蟻改修</t>
  </si>
  <si>
    <t>用途に併用部分がある場合に用途を記入</t>
  </si>
  <si>
    <t>建物所在地</t>
  </si>
  <si>
    <t>報告書は調査依頼人に届けます。</t>
  </si>
  <si>
    <t>整備図面</t>
  </si>
  <si>
    <t>事務所登録番号</t>
  </si>
  <si>
    <t>階数</t>
  </si>
  <si>
    <t>屋根材料</t>
  </si>
  <si>
    <t>壁材料</t>
  </si>
  <si>
    <t>板張り</t>
  </si>
  <si>
    <t>災害履歴</t>
  </si>
  <si>
    <t>基礎形式</t>
  </si>
  <si>
    <t>部位</t>
  </si>
  <si>
    <t>屋根</t>
  </si>
  <si>
    <t>ﾗｽﾓﾙﾀﾙ</t>
  </si>
  <si>
    <t>調査年月日</t>
  </si>
  <si>
    <t>竣工年月</t>
  </si>
  <si>
    <t>階</t>
  </si>
  <si>
    <t>地上</t>
  </si>
  <si>
    <t>ＴＥＬ</t>
  </si>
  <si>
    <t>郵便番号</t>
  </si>
  <si>
    <t>専用住宅</t>
  </si>
  <si>
    <t>地下室と見なされる車庫を有す</t>
  </si>
  <si>
    <t>異種構造部分は、本診断対象外であり、木造部分のみ検討します。</t>
  </si>
  <si>
    <t>延べ床面積</t>
  </si>
  <si>
    <t>筋かい有無</t>
  </si>
  <si>
    <t>床下浸水、床上浸水（土台腐朽チェック）</t>
  </si>
  <si>
    <t>液状化する可能性がある地盤です。改修時には地震力を1.5倍に割り増すことも選択肢となります。</t>
  </si>
  <si>
    <t>基礎に障害があると、地震時に壁の耐力を有効に生かすことが出来ません。基礎のひび割れは補修することが必要です。</t>
  </si>
  <si>
    <t>1.2ｍを超えるブロック塀に控え壁が施工されていません。転倒に対して詳細な調査を行うことを希望します。</t>
  </si>
  <si>
    <t>用途等</t>
  </si>
  <si>
    <t>竣工年月</t>
  </si>
  <si>
    <t>金融公庫</t>
  </si>
  <si>
    <t>設計図書</t>
  </si>
  <si>
    <t>白地にするには下記番号を消去する</t>
  </si>
  <si>
    <t>白地にするには下記枠内数値を消去する</t>
  </si>
  <si>
    <t>５、白蟻については記憶がない。の場合は、土台部分の調査を目視で出来るがぎり行う事</t>
  </si>
  <si>
    <t>３～４、の場合は、白蟻被害有りとする。</t>
  </si>
  <si>
    <t>○壁配置において、別倍率を採用すると各階毎、物件ごとに壁倍率を入力する必要がある</t>
  </si>
  <si>
    <t>○weeで使用したプリンターの設定が第１優先に固定される。プリンター設定を修正する必要がある</t>
  </si>
  <si>
    <t>○入力上、外壁線が閉鎖状態で入力出来ていない場合、壁の入力がおかしくなる。外壁線を書き直すと入力出来る</t>
  </si>
  <si>
    <t>入力上の留意事項</t>
  </si>
  <si>
    <t>２階建ての場合は３階床面積、短辺幅は空覧とすること。</t>
  </si>
  <si>
    <t>Ａ、上部構造の評価</t>
  </si>
  <si>
    <t>３、劣化度に対する所見</t>
  </si>
  <si>
    <t>Ｂ、地盤の評価</t>
  </si>
  <si>
    <t>Ｃ、基礎の評価</t>
  </si>
  <si>
    <t>太い柱、たれ壁による伝統構法。方法２</t>
  </si>
  <si>
    <t>要調査</t>
  </si>
  <si>
    <t>Ⅱ柱脚に足固めを設け、鉄筋コンクリート底盤に柱脚または足固めを緊結した玉石基礎</t>
  </si>
  <si>
    <t>Ⅲ柱脚に足固めを設けた玉石、石積み、ブロック基礎</t>
  </si>
  <si>
    <t>総合所見</t>
  </si>
  <si>
    <t>地域係数ｚ</t>
  </si>
  <si>
    <t>地域係数Z</t>
  </si>
  <si>
    <t>床仕様、吹き抜け</t>
  </si>
  <si>
    <t>Ⅱひび割れのある鉄筋コンクリートの布基礎またはべた基礎</t>
  </si>
  <si>
    <t>Ⅱ軽微なひび割れのある無筋コンクリートの基礎</t>
  </si>
  <si>
    <t>Ⅲひび割れのある無筋コンクリートの布基礎</t>
  </si>
  <si>
    <t>Ⅱ健全な無筋コンクリートの布基礎またはべた基礎</t>
  </si>
  <si>
    <t>これ以降は提出文書としない。</t>
  </si>
  <si>
    <t>壁・柱の耐力</t>
  </si>
  <si>
    <t>Qu(kN)</t>
  </si>
  <si>
    <t>配置などによる低減係数　　eKfl</t>
  </si>
  <si>
    <t>劣化度　dK</t>
  </si>
  <si>
    <t>Ⅰ１階はRC造または鉄骨造であり、基礎Ⅰ相当とする</t>
  </si>
  <si>
    <t>Qu(kN)</t>
  </si>
  <si>
    <t>保有耐力edQu=Qu×eKfl×dK</t>
  </si>
  <si>
    <t>配置低減　eKfl</t>
  </si>
  <si>
    <t>劣化度 　dK</t>
  </si>
  <si>
    <t>edQu／Qr</t>
  </si>
  <si>
    <t>壁仕様が不明であり2.0kN/mとして診断</t>
  </si>
  <si>
    <t>保有する耐力Qu×eKfl×dK=edQu(kN)</t>
  </si>
  <si>
    <t>edQu／Qr</t>
  </si>
  <si>
    <t>普通地盤　悪い地盤に分類されない普通地盤</t>
  </si>
  <si>
    <t>普通地盤</t>
  </si>
  <si>
    <t>土塗壁の塗厚</t>
  </si>
  <si>
    <t>基礎形式</t>
  </si>
  <si>
    <t>土壁厚</t>
  </si>
  <si>
    <t>40mm以上50mm未満</t>
  </si>
  <si>
    <t>50mm以上70mm未満</t>
  </si>
  <si>
    <t>70mm以上90mm未満</t>
  </si>
  <si>
    <t>90mm以上</t>
  </si>
  <si>
    <t>塗厚は不明</t>
  </si>
  <si>
    <t>診断時劣化度dK</t>
  </si>
  <si>
    <t>補強時劣化度dK</t>
  </si>
  <si>
    <t>採用劣化度dK</t>
  </si>
  <si>
    <t>壁基準耐力</t>
  </si>
  <si>
    <t>Ａ、２階建部分の１階、３階建ての１階</t>
  </si>
  <si>
    <t>Ｂ、平屋建部分に使用する場合</t>
  </si>
  <si>
    <t>Ｃ、最上階に使用する場合（２階建て、３階建て）</t>
  </si>
  <si>
    <t>Ｄ、３階建ての２階部分</t>
  </si>
  <si>
    <t>壁の耐力</t>
  </si>
  <si>
    <t>○ｗｅｅのファイル場所が探し難い（ウィンドウ７のエクスプローラー使用の場合）互換性ファイルをクリックすると表示される</t>
  </si>
  <si>
    <t>鉄筋コンクリート布基礎</t>
  </si>
  <si>
    <t>無筋コンクリート布基礎</t>
  </si>
  <si>
    <t>玉石、石積み、ﾌﾞﾛｯｸ積み</t>
  </si>
  <si>
    <t>１,壁・柱の耐力Quに対する所見</t>
  </si>
  <si>
    <t>２,配置低減eKflに対する所見（床仕様、４分割法、吹き抜け）</t>
  </si>
  <si>
    <t>３,劣化度dKに対する所見</t>
  </si>
  <si>
    <t>総合所見に対する所見</t>
  </si>
  <si>
    <t>壁の耐力不足、配置低減、劣化度の影響で、上部構造評点は1.0を満足できていません。悪い地盤に属しており、基礎は鉄筋コンクリートにすることが望まれます。</t>
  </si>
  <si>
    <t>周囲の状況から、やや軟弱な地盤だと思われますが、建物には目立った障害もなく良好に支持されています。</t>
  </si>
  <si>
    <t>基礎に障害があると、地震時に壁の耐力を有効に生かすことが出来ません。基礎は玉石基礎で、足固めが無い場合は地震時に柱が基礎を踏み外す可能性があります。詳細な調査が必要です。</t>
  </si>
  <si>
    <t>１、壁・柱耐力に対する所見</t>
  </si>
  <si>
    <t>保有する耐力　Qu×eKfl×dK=edQu(kN)</t>
  </si>
  <si>
    <t>完成年月日</t>
  </si>
  <si>
    <t>長期許容地耐力20kN/m2以上50kN/m2未満(地盤データがあるとき）</t>
  </si>
  <si>
    <t>　この診断は国土交通大臣より認定された、一般財団法人日本建築防災協会発</t>
  </si>
  <si>
    <t>行の「木造住宅の耐震診断と補強方法」に基づく一般診断法によるもので、充</t>
  </si>
  <si>
    <t>性を判断する目安であり、倒壊しないことを保証するものではありません。</t>
  </si>
  <si>
    <t>分信頼できるものですが、個々の建物ごとに状況が異なるため、あくまで安全</t>
  </si>
  <si>
    <t>高さ1.5ｍ以上の家具の転倒防止</t>
  </si>
  <si>
    <t>家具の転倒防止</t>
  </si>
  <si>
    <t xml:space="preserve"> 固定されている</t>
  </si>
  <si>
    <t xml:space="preserve"> 固定されていない</t>
  </si>
  <si>
    <t xml:space="preserve"> 固定されていない家具がある</t>
  </si>
  <si>
    <t xml:space="preserve"> 1.5ｍ以上の家具は無い</t>
  </si>
  <si>
    <t>非常に悪い地盤</t>
  </si>
  <si>
    <t>埋め立て地、盛土地</t>
  </si>
  <si>
    <t>悪い地盤　３０ｍより浅い沖積層でやや軟弱地盤</t>
  </si>
  <si>
    <t>悪い地盤　長期許容地耐力20kN/m2以上50kN/m2未満でやや軟弱地盤</t>
  </si>
  <si>
    <t>非常に悪い地盤　３０ｍより深い沖積層</t>
  </si>
  <si>
    <t>非常に悪い地盤　液状化の可能性がある地盤</t>
  </si>
  <si>
    <t>非常に悪い地盤　崖地、盛土地で、擁壁に異常がある地盤</t>
  </si>
  <si>
    <t>悪い地盤　埋め立て地、盛土地</t>
  </si>
  <si>
    <t>資料編p119</t>
  </si>
  <si>
    <t>下記以外の悪い地盤に分類されないもの</t>
  </si>
  <si>
    <t>"=+チェックリスト!S78</t>
  </si>
  <si>
    <t>方法１、方法2の選択で(P3)診断方法の選択から転記される。</t>
  </si>
  <si>
    <t>架構の形態</t>
  </si>
  <si>
    <t>枠組壁工法</t>
  </si>
  <si>
    <t>形態</t>
  </si>
  <si>
    <t>伝統的構法</t>
  </si>
  <si>
    <t>枠組壁工法</t>
  </si>
  <si>
    <t>太い柱、たれ壁による伝統工法。方法２</t>
  </si>
  <si>
    <t>基準p37</t>
  </si>
  <si>
    <t>"=+チェックリスト!R14</t>
  </si>
  <si>
    <t>伝統的構法</t>
  </si>
  <si>
    <t>全階木造</t>
  </si>
  <si>
    <t>1.5ｍ以上の家具に転倒防止金物による固定がなされていません。金物を施工することを希望します。</t>
  </si>
  <si>
    <t>"=+チェックリスト!R17</t>
  </si>
  <si>
    <t>２階建ての場合は３階床面積は空覧とすること。</t>
  </si>
  <si>
    <t>劣化度の改善</t>
  </si>
  <si>
    <t>"=+チェックリスト!R17</t>
  </si>
  <si>
    <t>①建物の種類</t>
  </si>
  <si>
    <t>②壁仕様の特定および計算方法</t>
  </si>
  <si>
    <t>③建物の構造</t>
  </si>
  <si>
    <t>④架構の形態</t>
  </si>
  <si>
    <t>⑤地域係数</t>
  </si>
  <si>
    <t>⑥基礎の種類</t>
  </si>
  <si>
    <t>⑦地盤状況の特定</t>
  </si>
  <si>
    <t>⑧</t>
  </si>
  <si>
    <t>ver</t>
  </si>
  <si>
    <t>Ｑ</t>
  </si>
  <si>
    <t>Ｒ</t>
  </si>
  <si>
    <t>Ｓ</t>
  </si>
  <si>
    <t>Ｔ</t>
  </si>
  <si>
    <t>Ｕ</t>
  </si>
  <si>
    <t>バルコニー</t>
  </si>
  <si>
    <t>■改修設計　劣化度による低減係数</t>
  </si>
  <si>
    <t>２は、劣化度を1.0まで改善することが出来る</t>
  </si>
  <si>
    <t>２、劣化改善工事を行う</t>
  </si>
  <si>
    <t>１、劣化改善工事を行わない</t>
  </si>
  <si>
    <t>改修設計において、柱・梁の腐朽が発見された場合は、床－床下の腐朽にチェックを入れる。全ての腐朽箇所の改善を行う場合のみチェックを外すことが出来る。</t>
  </si>
  <si>
    <t>改修</t>
  </si>
  <si>
    <t>⑦床仕様</t>
  </si>
  <si>
    <t>⑧接合仕様</t>
  </si>
  <si>
    <t>⑨</t>
  </si>
  <si>
    <t>edQu/Qr</t>
  </si>
  <si>
    <t>在来軸組工法</t>
  </si>
  <si>
    <t>1-（劣化点数／存在点数）=</t>
  </si>
  <si>
    <t>在来軸組工法</t>
  </si>
  <si>
    <t>１は、診断基準式によるが、0.90を上限とする</t>
  </si>
  <si>
    <t>ｻｲﾃﾞｨﾝｸﾞ(窯業系)</t>
  </si>
  <si>
    <t>その他</t>
  </si>
  <si>
    <t>注；枠組壁工法の場合は、柱、梁接合部の低減は無い。Wee2012の入力において、枠組壁工法構造合板、枠組壁工法石膏ボードを採用すること。</t>
  </si>
  <si>
    <t>■現場写真1</t>
  </si>
  <si>
    <t>■現場写真2</t>
  </si>
  <si>
    <t>外観写真1</t>
  </si>
  <si>
    <t>外観写真2</t>
  </si>
  <si>
    <t>保護を解除しなくても写真張り付けができます</t>
  </si>
  <si>
    <t>（住宅の全景２面，特徴的な部分等、２枚以上）</t>
  </si>
  <si>
    <t>査時点での診断状況です。今後の経年劣化に対しては十分な維持管理をお願いします。</t>
  </si>
  <si>
    <t>鉄板葺等(軽い建物)</t>
  </si>
  <si>
    <t>２にチェックが入る場合は、現地調査において垂れ壁の配置、垂れ壁厚さ、柱寸法を調査することが必要です。</t>
  </si>
  <si>
    <t>（特徴的な部分等、２枚以上）</t>
  </si>
  <si>
    <t>劣化による低減係数≧0.7、1-（劣化点数／存在点数）＝</t>
  </si>
  <si>
    <t>短辺幅(m)</t>
  </si>
  <si>
    <t>３階</t>
  </si>
  <si>
    <t>２階</t>
  </si>
  <si>
    <t>１階</t>
  </si>
  <si>
    <t>小屋裏面積が1/8以下は無視します。A'×h／2.1</t>
  </si>
  <si>
    <t>床面積の比率を考慮して必要耐力を低減する。</t>
  </si>
  <si>
    <t>必要耐力の算出(改訂版p28、解表3.30)（改訂版p58と同じ）</t>
  </si>
  <si>
    <t>平屋建ては、変更無し</t>
  </si>
  <si>
    <t>0.28Z</t>
  </si>
  <si>
    <t>0.40Z</t>
  </si>
  <si>
    <t>0.64Z</t>
  </si>
  <si>
    <t>0.28k2*Z</t>
  </si>
  <si>
    <t>0.4k2*Z</t>
  </si>
  <si>
    <t>0.64k2*Z</t>
  </si>
  <si>
    <t>0.72k1*Z</t>
  </si>
  <si>
    <t>0.92k1*Z</t>
  </si>
  <si>
    <t>1.22k1*Z</t>
  </si>
  <si>
    <t>0.28k6*Z</t>
  </si>
  <si>
    <t>0.40k6*Z</t>
  </si>
  <si>
    <t>0.64k6*Z</t>
  </si>
  <si>
    <t>0.72k4k5*Z</t>
  </si>
  <si>
    <t>0.92k4k5*Z</t>
  </si>
  <si>
    <t>1.22k4k5*Z</t>
  </si>
  <si>
    <t>1.16k3*Z</t>
  </si>
  <si>
    <t>1.44k3*Z</t>
  </si>
  <si>
    <t>1.80k3*Z</t>
  </si>
  <si>
    <t>軽い建物、重たい建物</t>
  </si>
  <si>
    <t>非常に重たい建物</t>
  </si>
  <si>
    <t>k1＝0.4+0.6*Rf1</t>
  </si>
  <si>
    <t>k1＝0.53+0.47*Rf1</t>
  </si>
  <si>
    <t>k2＝1.06+0.15/Rf1</t>
  </si>
  <si>
    <t>k3＝(0.25+0.75×Rf1)</t>
  </si>
  <si>
    <t>k3＝(0.36+0.64×Rf1)</t>
  </si>
  <si>
    <t>　　×(0.65+0.35×Rf2)</t>
  </si>
  <si>
    <t>　　×(0.68+0.32×Rf2)</t>
  </si>
  <si>
    <t>k4＝0.4+0.6*Rf2</t>
  </si>
  <si>
    <t>k4＝0.53+0.47*Rf2</t>
  </si>
  <si>
    <t>k5＝1.03+0.1/Rf1+0.08/Rf2</t>
  </si>
  <si>
    <t>k5＝0.98+0.1/Rf1+0.05/Rf2</t>
  </si>
  <si>
    <t>k6＝1.23+0.1/Rf1+0.23/Rf2</t>
  </si>
  <si>
    <t>k6＝1.04+0.13/Rf1+0.24/Rf2</t>
  </si>
  <si>
    <t>Rf1＝２階床面積／１階床面積、&gt;0.1</t>
  </si>
  <si>
    <t>Rf2＝３階床面積／２階床面積　&gt;0.1</t>
  </si>
  <si>
    <t>計算による必要耐力の修正</t>
  </si>
  <si>
    <t>短辺長さによる割り増し</t>
  </si>
  <si>
    <t>weeプログラムでは4m未満で1.13倍となっているが、エクセルで修正する。</t>
  </si>
  <si>
    <t>２階建ての１階、３階建ての1,2階で短辺長さが6ｍ未満の場合1.15倍する</t>
  </si>
  <si>
    <t>２階建ての１階、３階建ての1,2階で短辺長さが4ｍ未満の場合1.30倍する</t>
  </si>
  <si>
    <t>１階が非木造の場合は２階、３階に入力する。</t>
  </si>
  <si>
    <t>床面積(m2)</t>
  </si>
  <si>
    <t>短辺割増</t>
  </si>
  <si>
    <t>Rf2＝</t>
  </si>
  <si>
    <t>Rf1＝</t>
  </si>
  <si>
    <t>平屋建て、最上階は短辺割り増しは無い。下の階には最大値で割ります</t>
  </si>
  <si>
    <t>軽い屋根=1、重い屋根=2、非常に重い屋根=3</t>
  </si>
  <si>
    <t>必要壁量の計算</t>
  </si>
  <si>
    <t>Rf1</t>
  </si>
  <si>
    <t>Rf2</t>
  </si>
  <si>
    <t>＝</t>
  </si>
  <si>
    <t>＝</t>
  </si>
  <si>
    <t>)＝</t>
  </si>
  <si>
    <t>必要耐力の算定は一般診断法は、精算法の1.15倍としている。（３階建ての1,2階、２階建ての１階)</t>
  </si>
  <si>
    <t>屋根は、同じ数値となっている</t>
  </si>
  <si>
    <t>地域係数Ｚ＝</t>
  </si>
  <si>
    <t>軟弱地盤係数α、割り増し無し=1、割り増し=2</t>
  </si>
  <si>
    <t>α=</t>
  </si>
  <si>
    <t>１階がS,またはRC造＝2、全て木造=1</t>
  </si>
  <si>
    <t>ｒ=</t>
  </si>
  <si>
    <t>地域係数</t>
  </si>
  <si>
    <t>軟弱地盤</t>
  </si>
  <si>
    <t>形状割増</t>
  </si>
  <si>
    <t>混構造</t>
  </si>
  <si>
    <t>×Ｑy</t>
  </si>
  <si>
    <t>×Ｚ</t>
  </si>
  <si>
    <t>×α</t>
  </si>
  <si>
    <t>×β</t>
  </si>
  <si>
    <t>×ｒ</t>
  </si>
  <si>
    <t>=Ｑr</t>
  </si>
  <si>
    <t>上部構造評点</t>
  </si>
  <si>
    <t>必要耐力Qr</t>
  </si>
  <si>
    <t>強さP1(kN)</t>
  </si>
  <si>
    <t>配置低減E</t>
  </si>
  <si>
    <t>劣化度D</t>
  </si>
  <si>
    <t>Pd=P*D*E</t>
  </si>
  <si>
    <t>Pd／Qr2</t>
  </si>
  <si>
    <t>階</t>
  </si>
  <si>
    <t>方向</t>
  </si>
  <si>
    <t>Ｘ</t>
  </si>
  <si>
    <t>Ｙ</t>
  </si>
  <si>
    <t>Ｘ</t>
  </si>
  <si>
    <t>Ｙ</t>
  </si>
  <si>
    <t>Ｘ</t>
  </si>
  <si>
    <t>Ｙ</t>
  </si>
  <si>
    <t>劣化低減</t>
  </si>
  <si>
    <t>"=+チェックリスト!m134</t>
  </si>
  <si>
    <t>計算床面積(㎡)</t>
  </si>
  <si>
    <t>小屋算入面積(㎡)</t>
  </si>
  <si>
    <t>k2＝1.3+0.07/Rf1</t>
  </si>
  <si>
    <t>地震力に精算法を採用する場合は、偏心率を用いることとされている。(基準p27)</t>
  </si>
  <si>
    <t>上階に２以上に分かれた建物が存在する場合は、それぞれの短辺幅の小なる方を記載する</t>
  </si>
  <si>
    <t>１階が鉄骨、またはコンクリートの場合は2,3階は1.2倍する。２階建てとしての算定値を1.2倍する。</t>
  </si>
  <si>
    <t>小屋天井高h(m)</t>
  </si>
  <si>
    <t>小屋裏面積A’(㎡)</t>
  </si>
  <si>
    <t>○短辺幅は、床面積を長辺幅で除した値とする</t>
  </si>
  <si>
    <t>●小屋裏面積、小屋裏天井高さの入力を追加した。</t>
  </si>
  <si>
    <t>●劣化低減、保有耐力、必要耐力、評点は自動計算とした。</t>
  </si>
  <si>
    <t>●小屋裏面積は、1階天井、2階床収納は1階に記入、2階天井、3階床収納は2階に記入</t>
  </si>
  <si>
    <t>●短辺幅の入力を追加した。（平屋建ては影響しません）</t>
  </si>
  <si>
    <t>①改修設計時に補強量を少なくし、工事金額の低減が可能となる。</t>
  </si>
  <si>
    <t>地震力を精算法に変更する理由</t>
  </si>
  <si>
    <t>②防災協会Q&amp;Aにおいて、精算法を用いた場合に四分割法を用いる事の可否についての質問Q3.89における回答「原則、偏心率を用いて下さい、四分割法を用いる場合には、領域の必要耐力は表3.1を用いて算出して下さい。」</t>
  </si>
  <si>
    <t>上記内容は、四分割法の採用もやむを得ないと理解できる。また表3.1は、計算プログラムWEEにおける四分割法の内容に合致している</t>
  </si>
  <si>
    <t>地震力は精算法、偏心による低減は4分割法を採用した。</t>
  </si>
  <si>
    <t>2012改定診断基準において上記条文が追加されたが、偏心率の算定が難しいことから、診断基準に従った検討を行ってきた。その結果、改修設計における補強量の増加となり、改修戸数の増加に影響を与えていた。</t>
  </si>
  <si>
    <t>補強案１</t>
  </si>
  <si>
    <t>①架構の形態</t>
  </si>
  <si>
    <t>②地域係数</t>
  </si>
  <si>
    <t>③建物の種類</t>
  </si>
  <si>
    <t>④</t>
  </si>
  <si>
    <t>⑤建物の種類</t>
  </si>
  <si>
    <t>⑥</t>
  </si>
  <si>
    <t>診断結果</t>
  </si>
  <si>
    <t>小屋裏面積が1/8以下は無視する。A'×h／2.1</t>
  </si>
  <si>
    <t>所在地</t>
  </si>
  <si>
    <t>建物名称</t>
  </si>
  <si>
    <t>現況上部構造評点</t>
  </si>
  <si>
    <t>補強後上部構造評点</t>
  </si>
  <si>
    <t>単位費用</t>
  </si>
  <si>
    <t>(円/評点・㎡)</t>
  </si>
  <si>
    <t>)×</t>
  </si>
  <si>
    <t>－</t>
  </si>
  <si>
    <t>×(</t>
  </si>
  <si>
    <t>耐震改修工事費</t>
  </si>
  <si>
    <t>円＝</t>
  </si>
  <si>
    <t>床面積（㎡)</t>
  </si>
  <si>
    <t>現況の評点</t>
  </si>
  <si>
    <t>円</t>
  </si>
  <si>
    <t>＝</t>
  </si>
  <si>
    <t>（耐震改修後の評点－耐震改修前の評点）×1階床面積(㎡）</t>
  </si>
  <si>
    <t>耐震改修工事費</t>
  </si>
  <si>
    <t>補強方針</t>
  </si>
  <si>
    <t>単位費用を用いて算出した耐震改修工事費は、おおよその金額であり、実際の金額と異なる場合があります。概算の費用を知るための参考としてください。</t>
  </si>
  <si>
    <t>木造住宅耐震補強計画提案書</t>
  </si>
  <si>
    <t>3階評点</t>
  </si>
  <si>
    <t>2階評点</t>
  </si>
  <si>
    <t>1階評点</t>
  </si>
  <si>
    <t>現況評点が1.0を超える場合は、工事費は0とします。</t>
  </si>
  <si>
    <t>現況評点</t>
  </si>
  <si>
    <t>改修後評点</t>
  </si>
  <si>
    <t>補強計画－( １ )－</t>
  </si>
  <si>
    <t>■補強計画計算書</t>
  </si>
  <si>
    <t>補強計画－( ２ )－</t>
  </si>
  <si>
    <t>補強後上部構造評点（転記）(対象外部分は空欄とする)</t>
  </si>
  <si>
    <t>　⑦</t>
  </si>
  <si>
    <t>【注１】</t>
  </si>
  <si>
    <t>【注２】</t>
  </si>
  <si>
    <t>【注３】</t>
  </si>
  <si>
    <t>■耐震補強計画のまとめ</t>
  </si>
  <si>
    <t>補強計画の作成における与条件として、劣化度の改善は全てなされたものと想定します。すなわち「補強計画計算書」の「現況上部構造評点」の「劣化度dk」は1.0としています。</t>
  </si>
  <si>
    <t>工事の手法や工事箇所によっても、金額は変動します。耐震化に係る工事のみとし、基礎の新設、屋根の葺替、大規模な劣化改善工事など多額の費用が必要な工事は含みません。さらに一般的なリフォーム工事も概算費用には入っていません。</t>
  </si>
  <si>
    <t>補強計画は、住まいの状況、建物の劣化状況等により、いろいろな方法がありますが、そのうちの一例を示したものです。補強計画についてのご要望に応えられていない点もあろうかと思いますが、この案を参考に、生活の利便性、施工性を加味して改修設計を行って下さい。</t>
  </si>
  <si>
    <t>概算費用</t>
  </si>
  <si>
    <t>万円程度</t>
  </si>
  <si>
    <t>単位費用とは、床面積1㎡あたり、評点を1.0向上させるのに必要な耐震改修工事費です。</t>
  </si>
  <si>
    <t>これまでに耐震改修工事を行った徳島県内の住宅のデータを基に下式で算出すると、</t>
  </si>
  <si>
    <r>
      <rPr>
        <sz val="11"/>
        <color indexed="9"/>
        <rFont val="ＭＳ ゴシック"/>
        <family val="3"/>
      </rPr>
      <t>円</t>
    </r>
    <r>
      <rPr>
        <sz val="11"/>
        <rFont val="ＭＳ ゴシック"/>
        <family val="3"/>
      </rPr>
      <t>＝</t>
    </r>
  </si>
  <si>
    <t>耐震改修後の評点</t>
  </si>
  <si>
    <t>改修後</t>
  </si>
  <si>
    <t>採用</t>
  </si>
  <si>
    <t>・補強壁部分の柱・梁の接合は金物Ⅱを施工する。</t>
  </si>
  <si>
    <t>・劣化度の改善を行うことを前提とし、劣化低減は無いものとする。</t>
  </si>
  <si>
    <t>・配置などによる低減係数の改善に努める</t>
  </si>
  <si>
    <t>・ひび割れのある鉄筋コンクリート基礎Ⅱは、補修を行い基礎Ⅰとする。</t>
  </si>
  <si>
    <t>・ひび割れのある無筋コンクリート基礎Ⅲは、補修を行い基礎Ⅱとする。</t>
  </si>
  <si>
    <t>・補強壁部分の柱・梁は告示対応金物Ⅰを施工する。</t>
  </si>
  <si>
    <t>・玉石基礎Ⅲは、改修費用の増大を避けるため、補強は行わない。</t>
  </si>
  <si>
    <r>
      <t>単位費用（平均値）は約</t>
    </r>
    <r>
      <rPr>
        <u val="single"/>
        <sz val="11"/>
        <rFont val="ＭＳ ゴシック"/>
        <family val="3"/>
      </rPr>
      <t>38,000</t>
    </r>
    <r>
      <rPr>
        <sz val="11"/>
        <rFont val="ＭＳ ゴシック"/>
        <family val="3"/>
      </rPr>
      <t>円／評点・㎡となりました。</t>
    </r>
  </si>
  <si>
    <t>本格的補強とする場合は、全階共改修後の評点≧1.0とすること</t>
  </si>
  <si>
    <t>申込者</t>
  </si>
  <si>
    <t>耐震診断受付番号</t>
  </si>
  <si>
    <t>木造最下階の最小値＝</t>
  </si>
  <si>
    <t>●2017/4/1版　4/7訂正、劣化低減係数で0.7以上の場合も0.7と表示する不具合</t>
  </si>
  <si>
    <t>セル番号M:134　＝IF(M133="","",MAX(0.7,V134)において、V134をU134に訂正</t>
  </si>
  <si>
    <t>●2017/4/7版　4/24訂正、地域係数で、Ｚ＝0.9を選択出来ない不具合</t>
  </si>
  <si>
    <t>●2017/4/7版　4/24訂正、総合判定計算書　地域係数で、Ｚ＝0.9を選択出来ない不具合</t>
  </si>
  <si>
    <t>●2017/4/7版　4/24訂正、建物概要で地下室とみなされる車庫が選択出来ない不具合</t>
  </si>
  <si>
    <t>セル　R20のロック解除</t>
  </si>
  <si>
    <t>●2017/4/7版　4/24訂正、総合判定計算書で、計算方法1、2が表示されない不具合（結果に支障なし）</t>
  </si>
  <si>
    <t>●2017/4/7版　4/24訂正、建物概要で地下室とみなされる車庫が選択出来ない不具合（結果に支障無し）</t>
  </si>
  <si>
    <t>●2017/4/7版　4/24訂正、計算方法1、2が表示されない不具合（計算結果に支障なし）</t>
  </si>
  <si>
    <t>●2017/4/7版　4/24訂正、架構の形態で、１階RC造が表示されない不具合</t>
  </si>
  <si>
    <t>●2017/4/7版　4/24訂正、総合判定計算書の架構の形態で、１階RC造が表示されない不具合</t>
  </si>
  <si>
    <t>●2017/4/7版　4/24訂正、計算方法1、2が白地にならない不具合（計算結果に支障なし）</t>
  </si>
  <si>
    <t>●2017/4/7版　4/24訂正、総合判定計算書で、計算方法1、2が白地にならない不具合（計算結果に支障なし）</t>
  </si>
  <si>
    <t>●2017/4/24版　4/26訂正、総合判定計算書　地域係数で、Ｚ＝0.9を選択出来ない不具合</t>
  </si>
  <si>
    <t>切り捨てを中止</t>
  </si>
  <si>
    <t>現況上部構造評点（転記）(対象外部分は空欄とする。劣化度dkは1.00に固定。)</t>
  </si>
  <si>
    <t>ROUNDDOWN(W134/S134,2))))切り捨て中止</t>
  </si>
  <si>
    <t>１階が非木造の場合は、対象外。</t>
  </si>
  <si>
    <t>壁を主な耐震要素とする。　　　　　　（一般・方法１）</t>
  </si>
  <si>
    <t>太い柱や垂れ壁を主な耐震要素とする。（伝統・方法２）</t>
  </si>
  <si>
    <t>NO．○○○（○○）</t>
  </si>
  <si>
    <t>⑤建物の種類は、既存建物の重量区分から変更出来ないこととした。</t>
  </si>
  <si>
    <t>１、図面があり、筋かい等耐力壁の配置記入有り</t>
  </si>
  <si>
    <t>２、図面はあるが、筋かい等耐力壁の配置記入無し</t>
  </si>
  <si>
    <t>確認出来た土壁、筋かい等を考慮して診断</t>
  </si>
  <si>
    <t>令和</t>
  </si>
  <si>
    <t>令和</t>
  </si>
  <si>
    <t>□１階だけを本格的に補強する場合</t>
  </si>
  <si>
    <t>□すべての階を本格的に補強する場合</t>
  </si>
  <si>
    <t>形状割増　β</t>
  </si>
  <si>
    <t>１階が非木造の場合の１階床面積は建築面積を入力する</t>
  </si>
  <si>
    <t>注；枠組壁工法の場合は、Weeの入力において、枠組壁工法構造合板、枠組壁工法石膏ボードを</t>
  </si>
  <si>
    <t>採用すること。</t>
  </si>
  <si>
    <t>１階が非木造の場合の１階床面積は建築面積を入力する。</t>
  </si>
  <si>
    <t>Wee2012(Win10)（精算法ルート）による建物概要の入力では下記形状割増βを選択する。計算メッセージが生じても支障は無い。</t>
  </si>
  <si>
    <t>Wee2012(Win10)表3.1ルート(四分割法)では形状割増係数について計算メッセージが生じない事。</t>
  </si>
  <si>
    <t>徳島県知事　第     号</t>
  </si>
  <si>
    <t>徳島県知事　第        号</t>
  </si>
  <si>
    <t>Wee2012(Win10)では表3.1ルート(四分割法）とし、短辺と形状割増係数が相違しないこと。</t>
  </si>
  <si>
    <t>※上記の単位費用は、近年の建設費高騰の影響を考慮し、50,000円/評点・㎡に変えています。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</si>
</sst>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0_ "/>
    <numFmt numFmtId="180" formatCode="0.0"/>
    <numFmt numFmtId="181" formatCode="0.0_ "/>
    <numFmt numFmtId="182" formatCode="0.0_);[Red]\(0.0\)"/>
    <numFmt numFmtId="183" formatCode="0.00;[Red]0.00"/>
    <numFmt numFmtId="184" formatCode="0.0;[Red]0.0"/>
    <numFmt numFmtId="185" formatCode="0;[Red]0"/>
    <numFmt numFmtId="186" formatCode="0.E+00"/>
    <numFmt numFmtId="187" formatCode="&quot;Yes&quot;;&quot;Yes&quot;;&quot;No&quot;"/>
    <numFmt numFmtId="188" formatCode="&quot;True&quot;;&quot;True&quot;;&quot;False&quot;"/>
    <numFmt numFmtId="189" formatCode="&quot;On&quot;;&quot;On&quot;;&quot;Off&quot;"/>
    <numFmt numFmtId="190" formatCode="0.0000_ "/>
    <numFmt numFmtId="191" formatCode="0.000_ "/>
    <numFmt numFmtId="192" formatCode="[$€-2]\ #,##0.00_);[Red]\([$€-2]\ #,##0.00\)"/>
    <numFmt numFmtId="193" formatCode="#,##0_ "/>
    <numFmt numFmtId="194" formatCode="&quot;¥&quot;#,##0;[Red]&quot;¥&quot;#,##0"/>
    <numFmt numFmtId="195" formatCode="#,##0;[Red]#,##0"/>
    <numFmt numFmtId="196" formatCode="#,##0.00;[Red]#,##0.00"/>
    <numFmt numFmtId="197" formatCode="0.000;[Red]0.000"/>
    <numFmt numFmtId="198" formatCode="[$]ggge&quot;年&quot;m&quot;月&quot;d&quot;日&quot;;@"/>
    <numFmt numFmtId="199" formatCode="[$-411]gge&quot;年&quot;m&quot;月&quot;d&quot;日&quot;;@"/>
    <numFmt numFmtId="200" formatCode="[$]gge&quot;年&quot;m&quot;月&quot;d&quot;日&quot;;@"/>
  </numFmts>
  <fonts count="65">
    <font>
      <sz val="12"/>
      <name val="Arial"/>
      <family val="2"/>
    </font>
    <font>
      <b/>
      <sz val="10"/>
      <name val="Arial"/>
      <family val="2"/>
    </font>
    <font>
      <i/>
      <sz val="10"/>
      <name val="Arial"/>
      <family val="2"/>
    </font>
    <font>
      <b/>
      <i/>
      <sz val="10"/>
      <name val="Arial"/>
      <family val="2"/>
    </font>
    <font>
      <sz val="6"/>
      <name val="ＭＳ Ｐゴシック"/>
      <family val="3"/>
    </font>
    <font>
      <sz val="11"/>
      <name val="Arial"/>
      <family val="2"/>
    </font>
    <font>
      <sz val="11"/>
      <name val="ＭＳ ゴシック"/>
      <family val="3"/>
    </font>
    <font>
      <sz val="10"/>
      <name val="ＭＳ ゴシック"/>
      <family val="3"/>
    </font>
    <font>
      <sz val="9"/>
      <name val="MS UI Gothic"/>
      <family val="3"/>
    </font>
    <font>
      <u val="single"/>
      <sz val="12"/>
      <color indexed="12"/>
      <name val="Arial"/>
      <family val="2"/>
    </font>
    <font>
      <u val="single"/>
      <sz val="12"/>
      <color indexed="36"/>
      <name val="Arial"/>
      <family val="2"/>
    </font>
    <font>
      <sz val="12"/>
      <name val="ＭＳ ゴシック"/>
      <family val="3"/>
    </font>
    <font>
      <sz val="12"/>
      <name val="ＭＳ Ｐゴシック"/>
      <family val="3"/>
    </font>
    <font>
      <sz val="14"/>
      <name val="ＭＳ ゴシック"/>
      <family val="3"/>
    </font>
    <font>
      <sz val="14"/>
      <name val="Arial"/>
      <family val="2"/>
    </font>
    <font>
      <sz val="18"/>
      <name val="ＭＳ ゴシック"/>
      <family val="3"/>
    </font>
    <font>
      <sz val="15"/>
      <name val="ＭＳ ゴシック"/>
      <family val="3"/>
    </font>
    <font>
      <sz val="12"/>
      <name val="ＭＳ 明朝"/>
      <family val="1"/>
    </font>
    <font>
      <sz val="6"/>
      <name val="ＭＳ ゴシック"/>
      <family val="3"/>
    </font>
    <font>
      <sz val="11"/>
      <name val="ＭＳ Ｐゴシック"/>
      <family val="3"/>
    </font>
    <font>
      <sz val="9"/>
      <name val="ＭＳ ゴシック"/>
      <family val="3"/>
    </font>
    <font>
      <sz val="11"/>
      <color indexed="10"/>
      <name val="ＭＳ ゴシック"/>
      <family val="3"/>
    </font>
    <font>
      <sz val="11"/>
      <name val="ＭＳ 明朝"/>
      <family val="1"/>
    </font>
    <font>
      <sz val="9"/>
      <name val="ＭＳ Ｐゴシック"/>
      <family val="3"/>
    </font>
    <font>
      <b/>
      <sz val="11"/>
      <name val="ＭＳ Ｐゴシック"/>
      <family val="3"/>
    </font>
    <font>
      <b/>
      <sz val="12"/>
      <name val="ＭＳ Ｐゴシック"/>
      <family val="3"/>
    </font>
    <font>
      <b/>
      <sz val="12"/>
      <name val="ＭＳ ゴシック"/>
      <family val="3"/>
    </font>
    <font>
      <u val="single"/>
      <sz val="11"/>
      <name val="ＭＳ ゴシック"/>
      <family val="3"/>
    </font>
    <font>
      <sz val="11"/>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style="hair"/>
      <top style="thin"/>
      <bottom style="hair"/>
    </border>
    <border>
      <left style="thin"/>
      <right style="hair"/>
      <top style="hair"/>
      <bottom style="hair"/>
    </border>
    <border>
      <left style="thin"/>
      <right style="thin"/>
      <top>
        <color indexed="63"/>
      </top>
      <bottom style="thin"/>
    </border>
    <border>
      <left style="thin"/>
      <right style="thin"/>
      <top style="thin"/>
      <bottom>
        <color indexed="63"/>
      </bottom>
    </border>
    <border>
      <left style="thin"/>
      <right>
        <color indexed="63"/>
      </right>
      <top style="hair"/>
      <bottom>
        <color indexed="63"/>
      </bottom>
    </border>
    <border>
      <left>
        <color indexed="63"/>
      </left>
      <right style="thin"/>
      <top style="thin"/>
      <bottom>
        <color indexed="63"/>
      </bottom>
    </border>
    <border>
      <left>
        <color indexed="63"/>
      </left>
      <right>
        <color indexed="63"/>
      </right>
      <top style="hair"/>
      <bottom>
        <color indexed="63"/>
      </bottom>
    </border>
    <border>
      <left style="thin"/>
      <right>
        <color indexed="63"/>
      </right>
      <top style="hair"/>
      <bottom style="thin"/>
    </border>
    <border>
      <left style="thin"/>
      <right style="hair"/>
      <top>
        <color indexed="63"/>
      </top>
      <bottom style="thin"/>
    </border>
    <border>
      <left style="thin"/>
      <right style="thin"/>
      <top>
        <color indexed="63"/>
      </top>
      <bottom>
        <color indexed="63"/>
      </bottom>
    </border>
    <border>
      <left style="hair"/>
      <right style="thin"/>
      <top>
        <color indexed="63"/>
      </top>
      <bottom style="thin"/>
    </border>
    <border>
      <left style="hair"/>
      <right style="thin"/>
      <top style="thin"/>
      <bottom style="hair"/>
    </border>
    <border>
      <left>
        <color indexed="63"/>
      </left>
      <right style="hair"/>
      <top style="hair"/>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thin"/>
      <top style="hair"/>
      <bottom style="hair"/>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thin"/>
      <right style="hair"/>
      <top style="hair"/>
      <bottom style="thin"/>
    </border>
    <border>
      <left>
        <color indexed="63"/>
      </left>
      <right style="hair"/>
      <top style="thin"/>
      <bottom style="hair"/>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thin"/>
      <bottom>
        <color indexed="63"/>
      </bottom>
    </border>
    <border>
      <left style="thin"/>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style="hair"/>
      <top style="thin"/>
      <bottom style="hair"/>
    </border>
    <border>
      <left style="hair"/>
      <right>
        <color indexed="63"/>
      </right>
      <top style="thin"/>
      <bottom style="thin"/>
    </border>
    <border>
      <left style="thin"/>
      <right style="hair"/>
      <top>
        <color indexed="63"/>
      </top>
      <bottom style="hair"/>
    </border>
    <border>
      <left style="thin"/>
      <right style="hair"/>
      <top>
        <color indexed="63"/>
      </top>
      <bottom>
        <color indexed="63"/>
      </bottom>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color indexed="63"/>
      </bottom>
    </border>
    <border>
      <left>
        <color indexed="63"/>
      </left>
      <right style="hair"/>
      <top style="hair"/>
      <bottom>
        <color indexed="63"/>
      </bottom>
    </border>
    <border>
      <left>
        <color indexed="63"/>
      </left>
      <right style="thin"/>
      <top>
        <color indexed="63"/>
      </top>
      <bottom style="hair"/>
    </border>
    <border>
      <left style="hair"/>
      <right style="hair"/>
      <top style="thin"/>
      <bottom style="thin"/>
    </border>
    <border>
      <left style="hair"/>
      <right style="thin"/>
      <top style="hair"/>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hair"/>
      <bottom style="thin"/>
    </border>
    <border>
      <left style="dotted"/>
      <right style="dotted"/>
      <top style="hair"/>
      <bottom style="thin"/>
    </border>
    <border>
      <left style="dotted"/>
      <right style="thin"/>
      <top style="hair"/>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style="hair"/>
    </border>
    <border>
      <left style="dotted"/>
      <right style="dotted"/>
      <top style="thin"/>
      <bottom style="hair"/>
    </border>
    <border>
      <left style="dotted"/>
      <right style="thin"/>
      <top style="thin"/>
      <bottom style="hair"/>
    </border>
    <border>
      <left style="hair"/>
      <right style="thin"/>
      <top>
        <color indexed="63"/>
      </top>
      <bottom style="hair"/>
    </border>
    <border>
      <left style="hair"/>
      <right style="dotted"/>
      <top style="hair"/>
      <bottom style="hair"/>
    </border>
    <border>
      <left style="hair"/>
      <right style="dotted"/>
      <top style="hair"/>
      <bottom style="thin"/>
    </border>
    <border>
      <left style="hair"/>
      <right style="dotted"/>
      <top style="thin"/>
      <bottom style="hair"/>
    </border>
    <border>
      <left>
        <color indexed="63"/>
      </left>
      <right style="dotted"/>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0" fontId="61" fillId="31" borderId="4" applyNumberFormat="0" applyAlignment="0" applyProtection="0"/>
    <xf numFmtId="0" fontId="10" fillId="0" borderId="0" applyNumberFormat="0" applyFill="0" applyBorder="0" applyAlignment="0" applyProtection="0"/>
    <xf numFmtId="0" fontId="62" fillId="32" borderId="0" applyNumberFormat="0" applyBorder="0" applyAlignment="0" applyProtection="0"/>
  </cellStyleXfs>
  <cellXfs count="1041">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horizontal="center"/>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33" borderId="20" xfId="0" applyFont="1" applyFill="1" applyBorder="1" applyAlignment="1">
      <alignment/>
    </xf>
    <xf numFmtId="0" fontId="6" fillId="33" borderId="28" xfId="0" applyFont="1" applyFill="1" applyBorder="1" applyAlignment="1">
      <alignment/>
    </xf>
    <xf numFmtId="0" fontId="6" fillId="33"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8" xfId="0" applyFont="1" applyFill="1" applyBorder="1" applyAlignment="1">
      <alignment/>
    </xf>
    <xf numFmtId="0" fontId="6" fillId="0" borderId="11" xfId="0" applyFont="1" applyFill="1" applyBorder="1" applyAlignment="1">
      <alignment/>
    </xf>
    <xf numFmtId="0" fontId="6" fillId="0" borderId="21" xfId="0" applyFont="1" applyFill="1" applyBorder="1" applyAlignment="1">
      <alignment/>
    </xf>
    <xf numFmtId="0" fontId="6" fillId="33" borderId="15"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33" borderId="28" xfId="0" applyFont="1" applyFill="1" applyBorder="1" applyAlignment="1" applyProtection="1">
      <alignment/>
      <protection locked="0"/>
    </xf>
    <xf numFmtId="0" fontId="6" fillId="33" borderId="20" xfId="0" applyFont="1" applyFill="1" applyBorder="1" applyAlignment="1" applyProtection="1">
      <alignment/>
      <protection locked="0"/>
    </xf>
    <xf numFmtId="0" fontId="6" fillId="33" borderId="18" xfId="0" applyFont="1" applyFill="1" applyBorder="1" applyAlignment="1">
      <alignment/>
    </xf>
    <xf numFmtId="0" fontId="6" fillId="33" borderId="22" xfId="0" applyFont="1" applyFill="1" applyBorder="1" applyAlignment="1">
      <alignment/>
    </xf>
    <xf numFmtId="0" fontId="6" fillId="33" borderId="24" xfId="0" applyFont="1" applyFill="1" applyBorder="1" applyAlignment="1">
      <alignment/>
    </xf>
    <xf numFmtId="0" fontId="6" fillId="33" borderId="12" xfId="0" applyFont="1" applyFill="1" applyBorder="1" applyAlignment="1">
      <alignment/>
    </xf>
    <xf numFmtId="0" fontId="6" fillId="33" borderId="25" xfId="0" applyFont="1" applyFill="1" applyBorder="1" applyAlignment="1">
      <alignment/>
    </xf>
    <xf numFmtId="0" fontId="6" fillId="33" borderId="32" xfId="0" applyFont="1" applyFill="1" applyBorder="1" applyAlignment="1">
      <alignment/>
    </xf>
    <xf numFmtId="0" fontId="6" fillId="33" borderId="33" xfId="0" applyFont="1" applyFill="1" applyBorder="1" applyAlignment="1">
      <alignment/>
    </xf>
    <xf numFmtId="0" fontId="6" fillId="33" borderId="11" xfId="0" applyFont="1" applyFill="1" applyBorder="1" applyAlignment="1">
      <alignment/>
    </xf>
    <xf numFmtId="0" fontId="6" fillId="33" borderId="21" xfId="0" applyFont="1" applyFill="1" applyBorder="1" applyAlignment="1">
      <alignment/>
    </xf>
    <xf numFmtId="0" fontId="6" fillId="33" borderId="34" xfId="0" applyFont="1" applyFill="1" applyBorder="1" applyAlignment="1">
      <alignment/>
    </xf>
    <xf numFmtId="0" fontId="6" fillId="33" borderId="35" xfId="0" applyFont="1" applyFill="1" applyBorder="1" applyAlignment="1">
      <alignment/>
    </xf>
    <xf numFmtId="0" fontId="6" fillId="0" borderId="0" xfId="0" applyFont="1" applyBorder="1" applyAlignment="1">
      <alignment horizontal="center"/>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0" fontId="6" fillId="33" borderId="17" xfId="0" applyFont="1" applyFill="1" applyBorder="1" applyAlignment="1" applyProtection="1">
      <alignment/>
      <protection locked="0"/>
    </xf>
    <xf numFmtId="0" fontId="6" fillId="0" borderId="20" xfId="0" applyFont="1" applyFill="1" applyBorder="1" applyAlignment="1">
      <alignment/>
    </xf>
    <xf numFmtId="0" fontId="6" fillId="0" borderId="0" xfId="0" applyNumberFormat="1" applyFont="1" applyBorder="1" applyAlignment="1">
      <alignment/>
    </xf>
    <xf numFmtId="0" fontId="0" fillId="0" borderId="0" xfId="0" applyNumberFormat="1" applyAlignment="1">
      <alignment/>
    </xf>
    <xf numFmtId="0" fontId="0" fillId="0" borderId="11" xfId="0" applyFill="1" applyBorder="1" applyAlignment="1">
      <alignment/>
    </xf>
    <xf numFmtId="0" fontId="12" fillId="0" borderId="21" xfId="0" applyFont="1" applyFill="1" applyBorder="1" applyAlignment="1">
      <alignment/>
    </xf>
    <xf numFmtId="0" fontId="6" fillId="0" borderId="11" xfId="0" applyFont="1" applyFill="1" applyBorder="1" applyAlignment="1">
      <alignment/>
    </xf>
    <xf numFmtId="0" fontId="6" fillId="0" borderId="0" xfId="0" applyFont="1" applyBorder="1" applyAlignment="1" applyProtection="1">
      <alignment/>
      <protection locked="0"/>
    </xf>
    <xf numFmtId="183" fontId="6" fillId="0" borderId="0" xfId="0" applyNumberFormat="1" applyFont="1" applyBorder="1" applyAlignment="1">
      <alignment/>
    </xf>
    <xf numFmtId="0" fontId="0" fillId="33" borderId="11" xfId="0" applyFill="1" applyBorder="1" applyAlignment="1" applyProtection="1">
      <alignment/>
      <protection locked="0"/>
    </xf>
    <xf numFmtId="0" fontId="6" fillId="33" borderId="11" xfId="0" applyFont="1" applyFill="1" applyBorder="1" applyAlignment="1" applyProtection="1">
      <alignment/>
      <protection locked="0"/>
    </xf>
    <xf numFmtId="0" fontId="6" fillId="33" borderId="36" xfId="0" applyFont="1" applyFill="1" applyBorder="1" applyAlignment="1">
      <alignment/>
    </xf>
    <xf numFmtId="0" fontId="6" fillId="33" borderId="24" xfId="0" applyFont="1" applyFill="1" applyBorder="1" applyAlignment="1" applyProtection="1">
      <alignment/>
      <protection locked="0"/>
    </xf>
    <xf numFmtId="0" fontId="6" fillId="33" borderId="14" xfId="0" applyFont="1" applyFill="1" applyBorder="1" applyAlignment="1" applyProtection="1">
      <alignment/>
      <protection locked="0"/>
    </xf>
    <xf numFmtId="0" fontId="6" fillId="33" borderId="19" xfId="0" applyFont="1" applyFill="1" applyBorder="1" applyAlignment="1" applyProtection="1">
      <alignment/>
      <protection locked="0"/>
    </xf>
    <xf numFmtId="0" fontId="6" fillId="33" borderId="30"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7" xfId="0" applyFont="1" applyFill="1" applyBorder="1" applyAlignment="1" applyProtection="1">
      <alignment/>
      <protection locked="0"/>
    </xf>
    <xf numFmtId="0" fontId="6" fillId="0" borderId="0" xfId="0" applyFont="1" applyBorder="1" applyAlignment="1" applyProtection="1">
      <alignment/>
      <protection/>
    </xf>
    <xf numFmtId="0" fontId="6" fillId="0" borderId="0" xfId="0" applyFont="1" applyBorder="1" applyAlignment="1" quotePrefix="1">
      <alignment/>
    </xf>
    <xf numFmtId="0" fontId="6" fillId="0" borderId="22" xfId="0" applyFont="1" applyFill="1" applyBorder="1" applyAlignment="1">
      <alignment/>
    </xf>
    <xf numFmtId="0" fontId="6" fillId="0" borderId="12" xfId="0" applyFont="1" applyFill="1" applyBorder="1" applyAlignment="1">
      <alignment/>
    </xf>
    <xf numFmtId="0" fontId="6" fillId="0" borderId="25" xfId="0" applyFont="1" applyFill="1" applyBorder="1" applyAlignment="1">
      <alignment/>
    </xf>
    <xf numFmtId="0" fontId="6" fillId="0" borderId="0" xfId="0" applyFont="1" applyBorder="1" applyAlignment="1">
      <alignment horizontal="center" vertical="center"/>
    </xf>
    <xf numFmtId="0" fontId="6" fillId="0" borderId="37" xfId="0" applyFont="1" applyBorder="1" applyAlignment="1">
      <alignment/>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0" xfId="0" applyBorder="1" applyAlignment="1">
      <alignment/>
    </xf>
    <xf numFmtId="179" fontId="6" fillId="33" borderId="18" xfId="0" applyNumberFormat="1" applyFont="1" applyFill="1" applyBorder="1" applyAlignment="1" applyProtection="1">
      <alignment/>
      <protection locked="0"/>
    </xf>
    <xf numFmtId="0" fontId="6" fillId="0" borderId="0" xfId="0" applyFont="1" applyBorder="1" applyAlignment="1">
      <alignment/>
    </xf>
    <xf numFmtId="0" fontId="0" fillId="0" borderId="0" xfId="0" applyBorder="1" applyAlignment="1">
      <alignment horizontal="center" vertical="center"/>
    </xf>
    <xf numFmtId="179" fontId="6" fillId="0" borderId="0" xfId="0" applyNumberFormat="1" applyFont="1" applyFill="1" applyBorder="1" applyAlignment="1" applyProtection="1">
      <alignment/>
      <protection locked="0"/>
    </xf>
    <xf numFmtId="0" fontId="13" fillId="0" borderId="0" xfId="0" applyFont="1" applyBorder="1" applyAlignment="1">
      <alignment vertical="center"/>
    </xf>
    <xf numFmtId="0" fontId="6" fillId="0" borderId="19" xfId="0" applyFont="1" applyFill="1" applyBorder="1" applyAlignment="1">
      <alignment/>
    </xf>
    <xf numFmtId="0" fontId="6" fillId="0" borderId="36" xfId="0" applyFont="1" applyBorder="1" applyAlignment="1">
      <alignment/>
    </xf>
    <xf numFmtId="0" fontId="6" fillId="0" borderId="38" xfId="0" applyFont="1" applyBorder="1" applyAlignment="1">
      <alignment/>
    </xf>
    <xf numFmtId="0" fontId="6" fillId="33" borderId="39" xfId="0" applyFont="1" applyFill="1" applyBorder="1" applyAlignment="1">
      <alignment/>
    </xf>
    <xf numFmtId="0" fontId="12" fillId="0" borderId="0" xfId="0" applyFont="1" applyFill="1" applyBorder="1" applyAlignment="1">
      <alignment/>
    </xf>
    <xf numFmtId="0" fontId="6" fillId="0" borderId="0" xfId="0" applyFont="1" applyFill="1" applyBorder="1" applyAlignment="1" applyProtection="1">
      <alignment/>
      <protection locked="0"/>
    </xf>
    <xf numFmtId="0" fontId="13" fillId="0" borderId="0" xfId="0" applyFont="1" applyBorder="1" applyAlignment="1">
      <alignment/>
    </xf>
    <xf numFmtId="0" fontId="0" fillId="0" borderId="0" xfId="0" applyBorder="1" applyAlignment="1">
      <alignment horizontal="center"/>
    </xf>
    <xf numFmtId="14" fontId="6" fillId="0" borderId="0" xfId="0" applyNumberFormat="1" applyFont="1" applyBorder="1" applyAlignment="1">
      <alignment horizontal="center" vertic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Border="1" applyAlignment="1" applyProtection="1">
      <alignment/>
      <protection/>
    </xf>
    <xf numFmtId="0" fontId="6" fillId="33" borderId="22"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6" xfId="0" applyFont="1" applyFill="1" applyBorder="1" applyAlignment="1" applyProtection="1">
      <alignment/>
      <protection/>
    </xf>
    <xf numFmtId="0" fontId="15" fillId="0" borderId="0" xfId="0" applyFont="1" applyBorder="1" applyAlignment="1">
      <alignment/>
    </xf>
    <xf numFmtId="0" fontId="6" fillId="33" borderId="18" xfId="0" applyFont="1" applyFill="1" applyBorder="1" applyAlignment="1" applyProtection="1">
      <alignment/>
      <protection locked="0"/>
    </xf>
    <xf numFmtId="0" fontId="6" fillId="0" borderId="20" xfId="0" applyFont="1" applyBorder="1" applyAlignment="1">
      <alignment vertical="top"/>
    </xf>
    <xf numFmtId="0" fontId="6" fillId="0" borderId="10" xfId="0" applyFont="1" applyBorder="1" applyAlignment="1">
      <alignment vertical="top"/>
    </xf>
    <xf numFmtId="0" fontId="6" fillId="0" borderId="40" xfId="0" applyFont="1" applyBorder="1" applyAlignment="1">
      <alignment horizontal="center" vertical="center"/>
    </xf>
    <xf numFmtId="0" fontId="12"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xf>
    <xf numFmtId="0" fontId="6" fillId="0" borderId="14" xfId="0" applyFont="1" applyBorder="1" applyAlignment="1">
      <alignment vertical="top"/>
    </xf>
    <xf numFmtId="0" fontId="0" fillId="0" borderId="19" xfId="0" applyBorder="1" applyAlignment="1">
      <alignment vertical="top"/>
    </xf>
    <xf numFmtId="0" fontId="0" fillId="0" borderId="16"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6" fillId="0" borderId="17" xfId="0" applyFont="1" applyFill="1" applyBorder="1" applyAlignment="1">
      <alignment/>
    </xf>
    <xf numFmtId="0" fontId="6" fillId="0" borderId="24" xfId="0" applyFont="1" applyFill="1" applyBorder="1" applyAlignment="1">
      <alignment/>
    </xf>
    <xf numFmtId="0" fontId="6" fillId="0" borderId="21" xfId="0" applyFont="1" applyBorder="1" applyAlignment="1" applyProtection="1">
      <alignment/>
      <protection locked="0"/>
    </xf>
    <xf numFmtId="0" fontId="6" fillId="0" borderId="27" xfId="0" applyFont="1" applyBorder="1" applyAlignment="1" applyProtection="1">
      <alignment/>
      <protection locked="0"/>
    </xf>
    <xf numFmtId="0" fontId="6" fillId="0" borderId="35" xfId="0" applyFont="1" applyBorder="1" applyAlignment="1" applyProtection="1">
      <alignment/>
      <protection locked="0"/>
    </xf>
    <xf numFmtId="0" fontId="6" fillId="0" borderId="41" xfId="0" applyFont="1" applyBorder="1" applyAlignment="1" applyProtection="1">
      <alignment/>
      <protection locked="0"/>
    </xf>
    <xf numFmtId="0" fontId="6" fillId="0" borderId="34" xfId="0" applyFont="1" applyBorder="1" applyAlignment="1" applyProtection="1">
      <alignment/>
      <protection locked="0"/>
    </xf>
    <xf numFmtId="0" fontId="5"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pplyProtection="1">
      <alignment/>
      <protection/>
    </xf>
    <xf numFmtId="0" fontId="6" fillId="0" borderId="0" xfId="0" applyFont="1" applyFill="1" applyBorder="1" applyAlignment="1" applyProtection="1">
      <alignment/>
      <protection locked="0"/>
    </xf>
    <xf numFmtId="182" fontId="6" fillId="0" borderId="0" xfId="0" applyNumberFormat="1" applyFont="1" applyBorder="1" applyAlignment="1">
      <alignment/>
    </xf>
    <xf numFmtId="182" fontId="0" fillId="0" borderId="0" xfId="0" applyNumberFormat="1" applyBorder="1" applyAlignment="1">
      <alignment/>
    </xf>
    <xf numFmtId="0" fontId="6"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6" fillId="0" borderId="42" xfId="0" applyFont="1" applyBorder="1" applyAlignment="1">
      <alignment/>
    </xf>
    <xf numFmtId="0" fontId="6" fillId="0" borderId="43" xfId="0" applyFont="1" applyBorder="1" applyAlignment="1">
      <alignment/>
    </xf>
    <xf numFmtId="0" fontId="16" fillId="0" borderId="0" xfId="0" applyFont="1" applyAlignment="1">
      <alignment/>
    </xf>
    <xf numFmtId="0" fontId="6" fillId="33" borderId="24" xfId="0" applyFont="1" applyFill="1" applyBorder="1" applyAlignment="1" applyProtection="1">
      <alignment/>
      <protection locked="0"/>
    </xf>
    <xf numFmtId="0" fontId="0" fillId="33" borderId="25" xfId="0" applyFill="1" applyBorder="1" applyAlignment="1" applyProtection="1">
      <alignment/>
      <protection locked="0"/>
    </xf>
    <xf numFmtId="0" fontId="0" fillId="0" borderId="25" xfId="0" applyBorder="1" applyAlignment="1" applyProtection="1">
      <alignment/>
      <protection locked="0"/>
    </xf>
    <xf numFmtId="0" fontId="6" fillId="0" borderId="19" xfId="0" applyFont="1" applyFill="1" applyBorder="1" applyAlignment="1" applyProtection="1">
      <alignment/>
      <protection locked="0"/>
    </xf>
    <xf numFmtId="0" fontId="6" fillId="0" borderId="19" xfId="0" applyFont="1" applyFill="1" applyBorder="1" applyAlignment="1" applyProtection="1">
      <alignment/>
      <protection locked="0"/>
    </xf>
    <xf numFmtId="0" fontId="6" fillId="0" borderId="37" xfId="0" applyFont="1" applyFill="1" applyBorder="1" applyAlignment="1">
      <alignment/>
    </xf>
    <xf numFmtId="0" fontId="6" fillId="0" borderId="16" xfId="0" applyFont="1" applyFill="1" applyBorder="1" applyAlignment="1" applyProtection="1">
      <alignment/>
      <protection locked="0"/>
    </xf>
    <xf numFmtId="0" fontId="6" fillId="0" borderId="16" xfId="0" applyFont="1" applyFill="1" applyBorder="1" applyAlignment="1">
      <alignment/>
    </xf>
    <xf numFmtId="0" fontId="6" fillId="0" borderId="16" xfId="0" applyFont="1" applyFill="1" applyBorder="1" applyAlignment="1">
      <alignment/>
    </xf>
    <xf numFmtId="0" fontId="6" fillId="0" borderId="30" xfId="0" applyFont="1" applyBorder="1" applyAlignment="1" applyProtection="1">
      <alignment/>
      <protection locked="0"/>
    </xf>
    <xf numFmtId="0" fontId="6" fillId="0" borderId="30" xfId="0" applyFont="1" applyFill="1" applyBorder="1" applyAlignment="1" applyProtection="1">
      <alignment/>
      <protection locked="0"/>
    </xf>
    <xf numFmtId="0" fontId="6" fillId="0" borderId="39" xfId="0" applyFont="1" applyFill="1" applyBorder="1" applyAlignment="1">
      <alignment/>
    </xf>
    <xf numFmtId="0" fontId="13" fillId="0" borderId="0" xfId="0" applyFont="1" applyFill="1" applyBorder="1" applyAlignment="1">
      <alignment/>
    </xf>
    <xf numFmtId="0" fontId="17" fillId="0" borderId="0" xfId="0" applyFont="1" applyBorder="1" applyAlignment="1">
      <alignment/>
    </xf>
    <xf numFmtId="0" fontId="6" fillId="33" borderId="11" xfId="0" applyFont="1" applyFill="1" applyBorder="1" applyAlignment="1" applyProtection="1">
      <alignment/>
      <protection locked="0"/>
    </xf>
    <xf numFmtId="0" fontId="6" fillId="0" borderId="21" xfId="0" applyFont="1" applyFill="1" applyBorder="1" applyAlignment="1">
      <alignment/>
    </xf>
    <xf numFmtId="0" fontId="6" fillId="0" borderId="44" xfId="0" applyFont="1" applyBorder="1" applyAlignment="1" applyProtection="1">
      <alignment/>
      <protection locked="0"/>
    </xf>
    <xf numFmtId="0" fontId="11" fillId="0" borderId="37" xfId="0" applyFont="1" applyBorder="1" applyAlignment="1">
      <alignment vertical="center" wrapText="1"/>
    </xf>
    <xf numFmtId="0" fontId="11" fillId="0" borderId="16" xfId="0" applyFont="1" applyBorder="1" applyAlignment="1">
      <alignment vertical="center" wrapText="1"/>
    </xf>
    <xf numFmtId="0" fontId="6" fillId="0" borderId="45" xfId="0" applyFont="1" applyFill="1" applyBorder="1" applyAlignment="1" applyProtection="1">
      <alignment horizontal="center"/>
      <protection locked="0"/>
    </xf>
    <xf numFmtId="0" fontId="6" fillId="33" borderId="14" xfId="0" applyFont="1" applyFill="1" applyBorder="1" applyAlignment="1">
      <alignment/>
    </xf>
    <xf numFmtId="0" fontId="6" fillId="33" borderId="15" xfId="0" applyFont="1" applyFill="1" applyBorder="1" applyAlignment="1">
      <alignment/>
    </xf>
    <xf numFmtId="0" fontId="0" fillId="0" borderId="14" xfId="0" applyBorder="1" applyAlignment="1">
      <alignment/>
    </xf>
    <xf numFmtId="181" fontId="6" fillId="0" borderId="35" xfId="0" applyNumberFormat="1" applyFont="1" applyBorder="1" applyAlignment="1">
      <alignment horizontal="center" vertical="center"/>
    </xf>
    <xf numFmtId="0" fontId="6" fillId="0" borderId="34" xfId="0" applyFont="1" applyBorder="1" applyAlignment="1">
      <alignment horizontal="center" vertical="center"/>
    </xf>
    <xf numFmtId="183" fontId="6" fillId="0" borderId="0" xfId="0" applyNumberFormat="1" applyFont="1" applyAlignment="1">
      <alignment/>
    </xf>
    <xf numFmtId="0" fontId="0" fillId="0" borderId="46" xfId="0" applyBorder="1" applyAlignment="1">
      <alignment/>
    </xf>
    <xf numFmtId="0" fontId="0" fillId="0" borderId="34" xfId="0" applyBorder="1" applyAlignment="1">
      <alignment vertical="center" textRotation="255" wrapText="1"/>
    </xf>
    <xf numFmtId="0" fontId="0" fillId="0" borderId="47" xfId="0" applyBorder="1" applyAlignment="1">
      <alignment/>
    </xf>
    <xf numFmtId="0" fontId="6" fillId="0" borderId="48" xfId="0" applyFont="1" applyBorder="1" applyAlignment="1">
      <alignment/>
    </xf>
    <xf numFmtId="183" fontId="6" fillId="0" borderId="48" xfId="0" applyNumberFormat="1" applyFont="1" applyBorder="1" applyAlignment="1">
      <alignment/>
    </xf>
    <xf numFmtId="0" fontId="6" fillId="0" borderId="49" xfId="0" applyFont="1" applyBorder="1" applyAlignment="1">
      <alignment/>
    </xf>
    <xf numFmtId="0" fontId="6" fillId="33" borderId="46" xfId="0" applyFont="1" applyFill="1" applyBorder="1" applyAlignment="1">
      <alignment/>
    </xf>
    <xf numFmtId="0" fontId="6" fillId="0" borderId="11" xfId="0" applyFont="1" applyFill="1" applyBorder="1" applyAlignment="1" applyProtection="1">
      <alignment/>
      <protection locked="0"/>
    </xf>
    <xf numFmtId="177" fontId="0" fillId="0" borderId="0" xfId="0" applyNumberFormat="1" applyBorder="1" applyAlignment="1">
      <alignment horizontal="center"/>
    </xf>
    <xf numFmtId="0" fontId="6" fillId="0" borderId="0" xfId="0" applyFont="1" applyBorder="1" applyAlignment="1">
      <alignment horizontal="right"/>
    </xf>
    <xf numFmtId="184" fontId="6" fillId="0" borderId="0" xfId="0" applyNumberFormat="1" applyFont="1" applyBorder="1" applyAlignment="1">
      <alignment/>
    </xf>
    <xf numFmtId="184" fontId="6" fillId="0" borderId="48" xfId="0" applyNumberFormat="1" applyFont="1" applyBorder="1" applyAlignment="1">
      <alignment/>
    </xf>
    <xf numFmtId="0" fontId="6" fillId="0" borderId="50" xfId="0" applyFont="1" applyBorder="1" applyAlignment="1">
      <alignment/>
    </xf>
    <xf numFmtId="0" fontId="6" fillId="0" borderId="27" xfId="0" applyFont="1" applyBorder="1" applyAlignment="1">
      <alignment horizontal="center" vertical="center"/>
    </xf>
    <xf numFmtId="0" fontId="6" fillId="0" borderId="27" xfId="0" applyFont="1" applyBorder="1" applyAlignment="1">
      <alignment shrinkToFit="1"/>
    </xf>
    <xf numFmtId="0" fontId="6" fillId="33" borderId="27" xfId="0" applyFont="1" applyFill="1" applyBorder="1" applyAlignment="1">
      <alignment/>
    </xf>
    <xf numFmtId="0" fontId="6" fillId="33" borderId="34" xfId="0" applyFont="1" applyFill="1" applyBorder="1" applyAlignment="1" applyProtection="1" quotePrefix="1">
      <alignment/>
      <protection/>
    </xf>
    <xf numFmtId="0" fontId="20" fillId="33" borderId="11" xfId="0" applyFont="1" applyFill="1" applyBorder="1" applyAlignment="1">
      <alignment/>
    </xf>
    <xf numFmtId="0" fontId="6" fillId="33" borderId="37" xfId="0" applyFont="1" applyFill="1" applyBorder="1" applyAlignment="1">
      <alignment/>
    </xf>
    <xf numFmtId="0" fontId="6" fillId="33" borderId="17" xfId="0" applyFont="1" applyFill="1" applyBorder="1" applyAlignment="1">
      <alignment/>
    </xf>
    <xf numFmtId="183" fontId="6" fillId="0" borderId="0" xfId="0" applyNumberFormat="1" applyFont="1" applyBorder="1" applyAlignment="1">
      <alignment/>
    </xf>
    <xf numFmtId="0" fontId="6" fillId="0" borderId="48" xfId="0" applyFont="1" applyBorder="1" applyAlignment="1" applyProtection="1">
      <alignment/>
      <protection/>
    </xf>
    <xf numFmtId="183" fontId="6" fillId="0" borderId="49" xfId="0" applyNumberFormat="1" applyFont="1" applyBorder="1" applyAlignment="1">
      <alignment/>
    </xf>
    <xf numFmtId="0" fontId="0" fillId="0" borderId="0" xfId="0" applyBorder="1" applyAlignment="1">
      <alignment horizontal="right" vertical="center"/>
    </xf>
    <xf numFmtId="0" fontId="6" fillId="0" borderId="0" xfId="0" applyFont="1" applyBorder="1" applyAlignment="1">
      <alignment horizontal="left" vertical="center"/>
    </xf>
    <xf numFmtId="0" fontId="6" fillId="0" borderId="30" xfId="0" applyFont="1" applyFill="1" applyBorder="1" applyAlignment="1">
      <alignment/>
    </xf>
    <xf numFmtId="0" fontId="6" fillId="0" borderId="44" xfId="0" applyFont="1" applyBorder="1" applyAlignment="1">
      <alignment/>
    </xf>
    <xf numFmtId="0" fontId="6" fillId="0" borderId="19" xfId="0" applyFont="1" applyBorder="1" applyAlignment="1">
      <alignment vertical="top"/>
    </xf>
    <xf numFmtId="0" fontId="21" fillId="0" borderId="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33" borderId="35" xfId="0" applyFont="1" applyFill="1" applyBorder="1" applyAlignment="1" applyProtection="1">
      <alignment/>
      <protection locked="0"/>
    </xf>
    <xf numFmtId="0" fontId="6" fillId="33" borderId="54" xfId="0" applyFont="1" applyFill="1" applyBorder="1" applyAlignment="1" applyProtection="1">
      <alignment/>
      <protection locked="0"/>
    </xf>
    <xf numFmtId="0" fontId="6" fillId="33" borderId="34" xfId="0" applyFont="1" applyFill="1" applyBorder="1" applyAlignment="1" applyProtection="1">
      <alignment/>
      <protection locked="0"/>
    </xf>
    <xf numFmtId="0" fontId="6" fillId="33" borderId="36" xfId="0" applyFont="1" applyFill="1" applyBorder="1" applyAlignment="1" applyProtection="1">
      <alignment/>
      <protection locked="0"/>
    </xf>
    <xf numFmtId="0" fontId="0" fillId="33" borderId="28" xfId="0" applyFill="1" applyBorder="1" applyAlignment="1" applyProtection="1">
      <alignment/>
      <protection locked="0"/>
    </xf>
    <xf numFmtId="0" fontId="0" fillId="33" borderId="24" xfId="0" applyFill="1" applyBorder="1" applyAlignment="1" applyProtection="1">
      <alignment/>
      <protection locked="0"/>
    </xf>
    <xf numFmtId="0" fontId="0" fillId="33" borderId="36" xfId="0" applyFill="1" applyBorder="1" applyAlignment="1" applyProtection="1">
      <alignment/>
      <protection locked="0"/>
    </xf>
    <xf numFmtId="0" fontId="0" fillId="33" borderId="39" xfId="0" applyFill="1" applyBorder="1" applyAlignment="1" applyProtection="1">
      <alignment/>
      <protection locked="0"/>
    </xf>
    <xf numFmtId="0" fontId="0" fillId="0" borderId="0" xfId="0" applyFill="1" applyBorder="1" applyAlignment="1">
      <alignment/>
    </xf>
    <xf numFmtId="183" fontId="6" fillId="33" borderId="49" xfId="0" applyNumberFormat="1" applyFont="1" applyFill="1" applyBorder="1" applyAlignment="1" applyProtection="1">
      <alignment/>
      <protection locked="0"/>
    </xf>
    <xf numFmtId="0" fontId="6" fillId="0" borderId="29" xfId="0" applyFont="1" applyFill="1" applyBorder="1" applyAlignment="1">
      <alignment/>
    </xf>
    <xf numFmtId="0" fontId="6" fillId="0" borderId="55" xfId="0" applyFont="1" applyBorder="1" applyAlignment="1">
      <alignment/>
    </xf>
    <xf numFmtId="0" fontId="6" fillId="0" borderId="29" xfId="0" applyFont="1" applyBorder="1" applyAlignment="1">
      <alignment/>
    </xf>
    <xf numFmtId="0" fontId="6" fillId="0" borderId="48" xfId="0" applyFont="1" applyBorder="1" applyAlignment="1">
      <alignment horizontal="center"/>
    </xf>
    <xf numFmtId="0" fontId="0" fillId="0" borderId="12" xfId="0" applyBorder="1" applyAlignment="1">
      <alignment/>
    </xf>
    <xf numFmtId="0" fontId="0" fillId="0" borderId="23" xfId="0" applyBorder="1" applyAlignment="1">
      <alignment/>
    </xf>
    <xf numFmtId="0" fontId="0" fillId="0" borderId="0" xfId="0" applyBorder="1" applyAlignment="1">
      <alignment vertical="center" wrapText="1"/>
    </xf>
    <xf numFmtId="0" fontId="6" fillId="0" borderId="31" xfId="0" applyFont="1" applyBorder="1" applyAlignment="1">
      <alignment/>
    </xf>
    <xf numFmtId="0" fontId="0" fillId="0" borderId="10" xfId="0" applyBorder="1" applyAlignment="1">
      <alignment/>
    </xf>
    <xf numFmtId="0" fontId="0" fillId="0" borderId="17" xfId="0" applyBorder="1" applyAlignment="1">
      <alignment/>
    </xf>
    <xf numFmtId="0" fontId="6" fillId="0" borderId="56" xfId="0" applyFont="1" applyBorder="1" applyAlignment="1">
      <alignment/>
    </xf>
    <xf numFmtId="0" fontId="6" fillId="0" borderId="49" xfId="0" applyFont="1" applyBorder="1" applyAlignment="1">
      <alignment horizontal="center"/>
    </xf>
    <xf numFmtId="0" fontId="11" fillId="0" borderId="18" xfId="0" applyFont="1" applyBorder="1" applyAlignment="1">
      <alignment/>
    </xf>
    <xf numFmtId="183" fontId="6" fillId="0" borderId="13" xfId="0" applyNumberFormat="1" applyFont="1" applyBorder="1" applyAlignment="1">
      <alignment/>
    </xf>
    <xf numFmtId="0" fontId="6" fillId="0" borderId="56" xfId="0" applyFont="1" applyFill="1" applyBorder="1" applyAlignment="1">
      <alignment/>
    </xf>
    <xf numFmtId="0" fontId="6" fillId="33" borderId="57" xfId="0" applyFont="1" applyFill="1" applyBorder="1" applyAlignment="1">
      <alignment/>
    </xf>
    <xf numFmtId="0" fontId="6" fillId="33" borderId="32" xfId="0" applyFont="1" applyFill="1" applyBorder="1" applyAlignment="1">
      <alignment horizontal="right" shrinkToFit="1"/>
    </xf>
    <xf numFmtId="0" fontId="6" fillId="33" borderId="58" xfId="0" applyFont="1" applyFill="1" applyBorder="1" applyAlignment="1">
      <alignment horizontal="right"/>
    </xf>
    <xf numFmtId="49" fontId="6" fillId="0" borderId="0" xfId="0" applyNumberFormat="1" applyFont="1" applyFill="1" applyBorder="1" applyAlignment="1" applyProtection="1">
      <alignment horizontal="center"/>
      <protection/>
    </xf>
    <xf numFmtId="0" fontId="0" fillId="0" borderId="0" xfId="0" applyFill="1" applyBorder="1" applyAlignment="1">
      <alignment vertical="top" wrapText="1"/>
    </xf>
    <xf numFmtId="0" fontId="6" fillId="33" borderId="59" xfId="0" applyFont="1" applyFill="1" applyBorder="1" applyAlignment="1">
      <alignment/>
    </xf>
    <xf numFmtId="0" fontId="6" fillId="33" borderId="44" xfId="0" applyFont="1" applyFill="1" applyBorder="1" applyAlignment="1">
      <alignment horizontal="center"/>
    </xf>
    <xf numFmtId="0" fontId="0" fillId="33" borderId="57" xfId="0" applyFill="1" applyBorder="1" applyAlignment="1">
      <alignment/>
    </xf>
    <xf numFmtId="49" fontId="6" fillId="0" borderId="60" xfId="0" applyNumberFormat="1" applyFont="1" applyFill="1" applyBorder="1" applyAlignment="1" applyProtection="1">
      <alignment/>
      <protection/>
    </xf>
    <xf numFmtId="0" fontId="6" fillId="0" borderId="61" xfId="0" applyFont="1" applyBorder="1" applyAlignment="1">
      <alignment/>
    </xf>
    <xf numFmtId="0" fontId="6" fillId="33" borderId="62" xfId="0" applyFont="1" applyFill="1" applyBorder="1" applyAlignment="1">
      <alignment/>
    </xf>
    <xf numFmtId="0" fontId="0" fillId="0" borderId="61" xfId="0" applyBorder="1" applyAlignment="1">
      <alignment horizontal="center"/>
    </xf>
    <xf numFmtId="0" fontId="6" fillId="0" borderId="33" xfId="0" applyFont="1" applyBorder="1" applyAlignment="1" applyProtection="1">
      <alignment/>
      <protection locked="0"/>
    </xf>
    <xf numFmtId="0" fontId="6" fillId="0" borderId="63" xfId="0" applyFont="1" applyFill="1" applyBorder="1" applyAlignment="1">
      <alignment/>
    </xf>
    <xf numFmtId="0" fontId="6" fillId="0" borderId="64" xfId="0" applyFont="1" applyBorder="1" applyAlignment="1">
      <alignment horizontal="center"/>
    </xf>
    <xf numFmtId="0" fontId="6" fillId="0" borderId="33" xfId="0" applyFont="1" applyBorder="1" applyAlignment="1">
      <alignment horizontal="center"/>
    </xf>
    <xf numFmtId="0" fontId="6" fillId="33" borderId="59" xfId="0" applyFont="1" applyFill="1" applyBorder="1" applyAlignment="1">
      <alignment/>
    </xf>
    <xf numFmtId="0" fontId="6" fillId="33" borderId="59" xfId="0" applyFont="1" applyFill="1" applyBorder="1" applyAlignment="1" applyProtection="1">
      <alignment/>
      <protection locked="0"/>
    </xf>
    <xf numFmtId="0" fontId="6" fillId="33" borderId="44" xfId="0" applyFont="1" applyFill="1" applyBorder="1" applyAlignment="1" applyProtection="1">
      <alignment/>
      <protection locked="0"/>
    </xf>
    <xf numFmtId="0" fontId="6" fillId="33" borderId="57" xfId="0" applyFont="1" applyFill="1" applyBorder="1" applyAlignment="1" applyProtection="1">
      <alignment/>
      <protection locked="0"/>
    </xf>
    <xf numFmtId="0" fontId="6"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6" fillId="33" borderId="22" xfId="0" applyFont="1" applyFill="1" applyBorder="1" applyAlignment="1" applyProtection="1">
      <alignment/>
      <protection/>
    </xf>
    <xf numFmtId="0" fontId="6" fillId="0" borderId="29" xfId="0" applyFont="1" applyFill="1" applyBorder="1" applyAlignment="1" applyProtection="1">
      <alignment/>
      <protection/>
    </xf>
    <xf numFmtId="0" fontId="6" fillId="0" borderId="12" xfId="0" applyFont="1" applyFill="1" applyBorder="1" applyAlignment="1" applyProtection="1">
      <alignment/>
      <protection/>
    </xf>
    <xf numFmtId="0" fontId="6" fillId="33" borderId="24" xfId="0" applyFont="1" applyFill="1" applyBorder="1" applyAlignment="1" applyProtection="1">
      <alignment/>
      <protection/>
    </xf>
    <xf numFmtId="0" fontId="6" fillId="33" borderId="20" xfId="0" applyFont="1" applyFill="1" applyBorder="1" applyAlignment="1" applyProtection="1">
      <alignment/>
      <protection/>
    </xf>
    <xf numFmtId="183" fontId="6" fillId="0" borderId="65" xfId="0" applyNumberFormat="1" applyFont="1" applyBorder="1" applyAlignment="1">
      <alignment/>
    </xf>
    <xf numFmtId="183" fontId="6" fillId="0" borderId="50" xfId="0" applyNumberFormat="1" applyFont="1" applyBorder="1" applyAlignment="1">
      <alignment/>
    </xf>
    <xf numFmtId="0" fontId="7" fillId="0" borderId="0" xfId="0" applyFont="1" applyBorder="1" applyAlignment="1" applyProtection="1">
      <alignment/>
      <protection locked="0"/>
    </xf>
    <xf numFmtId="0" fontId="6" fillId="33" borderId="18" xfId="0" applyFont="1" applyFill="1" applyBorder="1" applyAlignment="1" applyProtection="1">
      <alignment/>
      <protection/>
    </xf>
    <xf numFmtId="0" fontId="0" fillId="0" borderId="0" xfId="0" applyBorder="1" applyAlignment="1">
      <alignment vertical="center"/>
    </xf>
    <xf numFmtId="183" fontId="6" fillId="33" borderId="48" xfId="0" applyNumberFormat="1" applyFont="1" applyFill="1" applyBorder="1" applyAlignment="1" applyProtection="1">
      <alignment/>
      <protection locked="0"/>
    </xf>
    <xf numFmtId="183" fontId="6" fillId="33" borderId="50" xfId="0" applyNumberFormat="1" applyFont="1" applyFill="1" applyBorder="1" applyAlignment="1" applyProtection="1">
      <alignment/>
      <protection locked="0"/>
    </xf>
    <xf numFmtId="0" fontId="6" fillId="0" borderId="0" xfId="0" applyFont="1" applyBorder="1" applyAlignment="1">
      <alignment vertical="center"/>
    </xf>
    <xf numFmtId="0" fontId="0" fillId="0" borderId="15" xfId="0" applyBorder="1" applyAlignment="1">
      <alignment/>
    </xf>
    <xf numFmtId="0" fontId="6" fillId="0" borderId="0" xfId="0" applyFont="1" applyFill="1" applyBorder="1" applyAlignment="1" quotePrefix="1">
      <alignment/>
    </xf>
    <xf numFmtId="0" fontId="0" fillId="0" borderId="11" xfId="0" applyBorder="1" applyAlignment="1">
      <alignment/>
    </xf>
    <xf numFmtId="0" fontId="6" fillId="0" borderId="66" xfId="0" applyFont="1" applyFill="1" applyBorder="1" applyAlignment="1">
      <alignment/>
    </xf>
    <xf numFmtId="183" fontId="6" fillId="0" borderId="0" xfId="0" applyNumberFormat="1" applyFont="1" applyBorder="1" applyAlignment="1">
      <alignment horizontal="center" vertical="center"/>
    </xf>
    <xf numFmtId="0" fontId="6" fillId="0" borderId="0" xfId="0" applyFont="1" applyFill="1" applyBorder="1" applyAlignment="1" applyProtection="1" quotePrefix="1">
      <alignment horizontal="right"/>
      <protection locked="0"/>
    </xf>
    <xf numFmtId="0" fontId="6" fillId="0" borderId="67" xfId="0" applyFont="1" applyFill="1" applyBorder="1" applyAlignment="1">
      <alignment/>
    </xf>
    <xf numFmtId="183" fontId="6" fillId="0" borderId="48" xfId="0" applyNumberFormat="1" applyFont="1" applyBorder="1" applyAlignment="1">
      <alignment/>
    </xf>
    <xf numFmtId="0" fontId="0" fillId="0" borderId="41" xfId="0" applyBorder="1" applyAlignment="1">
      <alignment vertical="center" textRotation="255" wrapText="1"/>
    </xf>
    <xf numFmtId="0" fontId="6" fillId="0" borderId="68" xfId="0" applyFont="1" applyBorder="1" applyAlignment="1">
      <alignment/>
    </xf>
    <xf numFmtId="0" fontId="0" fillId="0" borderId="38" xfId="0" applyBorder="1" applyAlignment="1">
      <alignment/>
    </xf>
    <xf numFmtId="0" fontId="0" fillId="0" borderId="69" xfId="0" applyBorder="1" applyAlignment="1">
      <alignment/>
    </xf>
    <xf numFmtId="0" fontId="0" fillId="0" borderId="25" xfId="0" applyBorder="1" applyAlignment="1">
      <alignment/>
    </xf>
    <xf numFmtId="0" fontId="0" fillId="0" borderId="26" xfId="0" applyBorder="1" applyAlignment="1">
      <alignment/>
    </xf>
    <xf numFmtId="0" fontId="6" fillId="0" borderId="30" xfId="0" applyFont="1" applyBorder="1" applyAlignment="1">
      <alignment/>
    </xf>
    <xf numFmtId="0" fontId="6" fillId="33" borderId="38" xfId="0" applyFont="1" applyFill="1" applyBorder="1" applyAlignment="1">
      <alignment/>
    </xf>
    <xf numFmtId="0" fontId="0" fillId="0" borderId="0" xfId="0" applyFill="1" applyBorder="1" applyAlignment="1">
      <alignment vertical="center"/>
    </xf>
    <xf numFmtId="0" fontId="6" fillId="0" borderId="0" xfId="0" applyFont="1" applyFill="1" applyBorder="1" applyAlignment="1" quotePrefix="1">
      <alignment vertical="center"/>
    </xf>
    <xf numFmtId="0" fontId="6" fillId="0" borderId="70" xfId="0" applyFont="1" applyFill="1" applyBorder="1" applyAlignment="1">
      <alignment/>
    </xf>
    <xf numFmtId="0" fontId="0" fillId="0" borderId="10" xfId="0" applyBorder="1" applyAlignment="1">
      <alignment vertical="top"/>
    </xf>
    <xf numFmtId="177" fontId="6" fillId="0" borderId="0" xfId="0" applyNumberFormat="1" applyFont="1" applyBorder="1" applyAlignment="1" quotePrefix="1">
      <alignment/>
    </xf>
    <xf numFmtId="177" fontId="6" fillId="0" borderId="0" xfId="0" applyNumberFormat="1" applyFont="1" applyBorder="1" applyAlignment="1">
      <alignment/>
    </xf>
    <xf numFmtId="183" fontId="6" fillId="0" borderId="71" xfId="0" applyNumberFormat="1" applyFont="1" applyFill="1" applyBorder="1" applyAlignment="1" applyProtection="1">
      <alignment/>
      <protection/>
    </xf>
    <xf numFmtId="183" fontId="6" fillId="0" borderId="48" xfId="0" applyNumberFormat="1" applyFont="1" applyFill="1" applyBorder="1" applyAlignment="1" applyProtection="1">
      <alignment/>
      <protection/>
    </xf>
    <xf numFmtId="183" fontId="6" fillId="0" borderId="49"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right"/>
      <protection/>
    </xf>
    <xf numFmtId="0" fontId="0" fillId="0" borderId="0" xfId="0" applyBorder="1" applyAlignment="1" applyProtection="1">
      <alignment horizontal="right"/>
      <protection/>
    </xf>
    <xf numFmtId="0" fontId="6" fillId="0" borderId="51" xfId="0" applyFont="1" applyBorder="1" applyAlignment="1" applyProtection="1">
      <alignment/>
      <protection/>
    </xf>
    <xf numFmtId="0" fontId="6" fillId="0" borderId="66" xfId="0" applyFont="1" applyFill="1" applyBorder="1" applyAlignment="1" applyProtection="1">
      <alignment/>
      <protection/>
    </xf>
    <xf numFmtId="0" fontId="6" fillId="0" borderId="52" xfId="0" applyFont="1" applyBorder="1" applyAlignment="1" applyProtection="1">
      <alignment/>
      <protection/>
    </xf>
    <xf numFmtId="0" fontId="6" fillId="0" borderId="53" xfId="0" applyFont="1" applyBorder="1" applyAlignment="1" applyProtection="1">
      <alignment/>
      <protection/>
    </xf>
    <xf numFmtId="0" fontId="6" fillId="33" borderId="15" xfId="0" applyFont="1" applyFill="1" applyBorder="1" applyAlignment="1">
      <alignment vertical="top"/>
    </xf>
    <xf numFmtId="0" fontId="0" fillId="33" borderId="25" xfId="0" applyFill="1" applyBorder="1" applyAlignment="1">
      <alignment vertical="top"/>
    </xf>
    <xf numFmtId="0" fontId="0" fillId="33" borderId="10" xfId="0" applyFill="1" applyBorder="1" applyAlignment="1">
      <alignment vertical="top"/>
    </xf>
    <xf numFmtId="0" fontId="22" fillId="33" borderId="0" xfId="0" applyFont="1" applyFill="1" applyBorder="1" applyAlignment="1" applyProtection="1">
      <alignment vertical="top"/>
      <protection locked="0"/>
    </xf>
    <xf numFmtId="0" fontId="0" fillId="0" borderId="21" xfId="0" applyBorder="1" applyAlignment="1">
      <alignment/>
    </xf>
    <xf numFmtId="0" fontId="21" fillId="0" borderId="0" xfId="0" applyFont="1" applyBorder="1" applyAlignment="1">
      <alignment horizontal="left" wrapText="1"/>
    </xf>
    <xf numFmtId="0" fontId="6" fillId="0" borderId="72" xfId="0" applyFont="1" applyBorder="1" applyAlignment="1">
      <alignment/>
    </xf>
    <xf numFmtId="0" fontId="7" fillId="0" borderId="0" xfId="0" applyFont="1" applyBorder="1" applyAlignment="1">
      <alignment/>
    </xf>
    <xf numFmtId="0" fontId="6" fillId="0" borderId="39" xfId="0" applyFont="1" applyBorder="1" applyAlignment="1">
      <alignment/>
    </xf>
    <xf numFmtId="0" fontId="6" fillId="33" borderId="39" xfId="0" applyFont="1" applyFill="1" applyBorder="1" applyAlignment="1" applyProtection="1">
      <alignment/>
      <protection locked="0"/>
    </xf>
    <xf numFmtId="0" fontId="6" fillId="33" borderId="19" xfId="0" applyFont="1" applyFill="1" applyBorder="1" applyAlignment="1">
      <alignment/>
    </xf>
    <xf numFmtId="0" fontId="6" fillId="33" borderId="40" xfId="0" applyFont="1" applyFill="1" applyBorder="1" applyAlignment="1">
      <alignment/>
    </xf>
    <xf numFmtId="0" fontId="6" fillId="0" borderId="14" xfId="0" applyFont="1" applyBorder="1" applyAlignment="1">
      <alignment/>
    </xf>
    <xf numFmtId="0" fontId="0" fillId="0" borderId="19" xfId="0" applyBorder="1" applyAlignment="1">
      <alignment/>
    </xf>
    <xf numFmtId="0" fontId="12" fillId="0" borderId="20" xfId="0" applyFont="1" applyBorder="1" applyAlignment="1">
      <alignment/>
    </xf>
    <xf numFmtId="0" fontId="6" fillId="33" borderId="58" xfId="0" applyFont="1" applyFill="1" applyBorder="1" applyAlignment="1">
      <alignment/>
    </xf>
    <xf numFmtId="0" fontId="6" fillId="33" borderId="73" xfId="0" applyFont="1" applyFill="1" applyBorder="1" applyAlignment="1">
      <alignment/>
    </xf>
    <xf numFmtId="0" fontId="6" fillId="0" borderId="14" xfId="0" applyFont="1" applyBorder="1" applyAlignment="1" applyProtection="1">
      <alignment/>
      <protection/>
    </xf>
    <xf numFmtId="190" fontId="6" fillId="0" borderId="0" xfId="0" applyNumberFormat="1" applyFont="1" applyFill="1" applyBorder="1" applyAlignment="1">
      <alignment vertical="top"/>
    </xf>
    <xf numFmtId="0" fontId="19" fillId="0" borderId="0" xfId="0" applyFont="1" applyBorder="1" applyAlignment="1">
      <alignment/>
    </xf>
    <xf numFmtId="177" fontId="6" fillId="33" borderId="27" xfId="0" applyNumberFormat="1" applyFont="1" applyFill="1" applyBorder="1" applyAlignment="1" applyProtection="1">
      <alignment horizontal="right"/>
      <protection locked="0"/>
    </xf>
    <xf numFmtId="0" fontId="6" fillId="33" borderId="32" xfId="0" applyFont="1" applyFill="1" applyBorder="1" applyAlignment="1" applyProtection="1">
      <alignment/>
      <protection locked="0"/>
    </xf>
    <xf numFmtId="0" fontId="6" fillId="33" borderId="64" xfId="0" applyFont="1" applyFill="1" applyBorder="1" applyAlignment="1" applyProtection="1">
      <alignment/>
      <protection locked="0"/>
    </xf>
    <xf numFmtId="0" fontId="6" fillId="33" borderId="33" xfId="0" applyFont="1" applyFill="1" applyBorder="1" applyAlignment="1" applyProtection="1">
      <alignment/>
      <protection locked="0"/>
    </xf>
    <xf numFmtId="0" fontId="6" fillId="33" borderId="74" xfId="0" applyFont="1" applyFill="1" applyBorder="1" applyAlignment="1" applyProtection="1">
      <alignment/>
      <protection locked="0"/>
    </xf>
    <xf numFmtId="0" fontId="6" fillId="33" borderId="33" xfId="0" applyFont="1" applyFill="1" applyBorder="1" applyAlignment="1">
      <alignment/>
    </xf>
    <xf numFmtId="0" fontId="6" fillId="0" borderId="56" xfId="0" applyFont="1" applyBorder="1" applyAlignment="1">
      <alignment/>
    </xf>
    <xf numFmtId="0" fontId="6" fillId="33" borderId="14" xfId="0" applyFont="1" applyFill="1" applyBorder="1" applyAlignment="1" applyProtection="1">
      <alignment/>
      <protection/>
    </xf>
    <xf numFmtId="0" fontId="6" fillId="33" borderId="28" xfId="0" applyFont="1" applyFill="1" applyBorder="1" applyAlignment="1" applyProtection="1">
      <alignment/>
      <protection/>
    </xf>
    <xf numFmtId="0" fontId="6" fillId="33" borderId="36" xfId="0" applyFont="1" applyFill="1" applyBorder="1" applyAlignment="1" applyProtection="1">
      <alignment/>
      <protection/>
    </xf>
    <xf numFmtId="183" fontId="6" fillId="0" borderId="48" xfId="0" applyNumberFormat="1" applyFont="1" applyBorder="1" applyAlignment="1">
      <alignment horizontal="right"/>
    </xf>
    <xf numFmtId="0" fontId="6" fillId="0" borderId="19" xfId="0" applyFont="1" applyBorder="1" applyAlignment="1" quotePrefix="1">
      <alignment/>
    </xf>
    <xf numFmtId="183" fontId="6" fillId="33" borderId="19" xfId="0" applyNumberFormat="1" applyFont="1" applyFill="1" applyBorder="1" applyAlignment="1" applyProtection="1">
      <alignment/>
      <protection locked="0"/>
    </xf>
    <xf numFmtId="183" fontId="6" fillId="33" borderId="52" xfId="0" applyNumberFormat="1" applyFont="1" applyFill="1" applyBorder="1" applyAlignment="1" applyProtection="1">
      <alignment/>
      <protection locked="0"/>
    </xf>
    <xf numFmtId="183" fontId="6" fillId="33" borderId="52" xfId="0" applyNumberFormat="1" applyFont="1" applyFill="1" applyBorder="1" applyAlignment="1" applyProtection="1">
      <alignment/>
      <protection locked="0"/>
    </xf>
    <xf numFmtId="183" fontId="6" fillId="0" borderId="52" xfId="0" applyNumberFormat="1" applyFont="1" applyBorder="1" applyAlignment="1">
      <alignment/>
    </xf>
    <xf numFmtId="183" fontId="6" fillId="0" borderId="16" xfId="0" applyNumberFormat="1" applyFont="1" applyBorder="1" applyAlignment="1">
      <alignment/>
    </xf>
    <xf numFmtId="0" fontId="6" fillId="0" borderId="24" xfId="0" applyFont="1" applyBorder="1" applyAlignment="1" quotePrefix="1">
      <alignment/>
    </xf>
    <xf numFmtId="183" fontId="6" fillId="33" borderId="24" xfId="0" applyNumberFormat="1" applyFont="1" applyFill="1" applyBorder="1" applyAlignment="1" applyProtection="1">
      <alignment horizontal="right"/>
      <protection locked="0"/>
    </xf>
    <xf numFmtId="183" fontId="6" fillId="33" borderId="48" xfId="0" applyNumberFormat="1" applyFont="1" applyFill="1" applyBorder="1" applyAlignment="1" applyProtection="1">
      <alignment horizontal="right"/>
      <protection locked="0"/>
    </xf>
    <xf numFmtId="183" fontId="6" fillId="33" borderId="48" xfId="0" applyNumberFormat="1" applyFont="1" applyFill="1" applyBorder="1" applyAlignment="1" applyProtection="1">
      <alignment/>
      <protection locked="0"/>
    </xf>
    <xf numFmtId="183" fontId="6" fillId="0" borderId="26" xfId="0" applyNumberFormat="1" applyFont="1" applyBorder="1" applyAlignment="1">
      <alignment/>
    </xf>
    <xf numFmtId="0" fontId="6" fillId="0" borderId="20" xfId="0" applyFont="1" applyBorder="1" applyAlignment="1" quotePrefix="1">
      <alignment/>
    </xf>
    <xf numFmtId="183" fontId="6" fillId="33" borderId="20" xfId="0" applyNumberFormat="1" applyFont="1" applyFill="1" applyBorder="1" applyAlignment="1" applyProtection="1">
      <alignment horizontal="right"/>
      <protection locked="0"/>
    </xf>
    <xf numFmtId="183" fontId="6" fillId="33" borderId="53" xfId="0" applyNumberFormat="1" applyFont="1" applyFill="1" applyBorder="1" applyAlignment="1" applyProtection="1">
      <alignment horizontal="right"/>
      <protection locked="0"/>
    </xf>
    <xf numFmtId="183" fontId="6" fillId="33" borderId="53" xfId="0" applyNumberFormat="1" applyFont="1" applyFill="1" applyBorder="1" applyAlignment="1" applyProtection="1">
      <alignment/>
      <protection locked="0"/>
    </xf>
    <xf numFmtId="183" fontId="6" fillId="0" borderId="53" xfId="0" applyNumberFormat="1" applyFont="1" applyBorder="1" applyAlignment="1">
      <alignment/>
    </xf>
    <xf numFmtId="183" fontId="6" fillId="0" borderId="17" xfId="0" applyNumberFormat="1" applyFont="1" applyBorder="1" applyAlignment="1">
      <alignment/>
    </xf>
    <xf numFmtId="0" fontId="6" fillId="0" borderId="0" xfId="0" applyFont="1" applyAlignment="1" quotePrefix="1">
      <alignment/>
    </xf>
    <xf numFmtId="0" fontId="21" fillId="0" borderId="0" xfId="0" applyFont="1" applyAlignment="1">
      <alignment/>
    </xf>
    <xf numFmtId="177" fontId="6" fillId="0" borderId="0" xfId="0" applyNumberFormat="1" applyFont="1" applyAlignment="1">
      <alignment/>
    </xf>
    <xf numFmtId="177" fontId="6" fillId="0" borderId="63" xfId="0" applyNumberFormat="1" applyFont="1" applyBorder="1" applyAlignment="1">
      <alignment horizontal="center"/>
    </xf>
    <xf numFmtId="0" fontId="6" fillId="0" borderId="0" xfId="0" applyFont="1" applyAlignment="1">
      <alignment horizontal="right"/>
    </xf>
    <xf numFmtId="183" fontId="6" fillId="0" borderId="0" xfId="0" applyNumberFormat="1" applyFont="1" applyAlignment="1">
      <alignment horizontal="right"/>
    </xf>
    <xf numFmtId="177" fontId="6" fillId="0" borderId="54" xfId="0" applyNumberFormat="1" applyFont="1" applyBorder="1" applyAlignment="1">
      <alignment horizontal="center"/>
    </xf>
    <xf numFmtId="183" fontId="6" fillId="0" borderId="0" xfId="0" applyNumberFormat="1" applyFont="1" applyAlignment="1" quotePrefix="1">
      <alignment/>
    </xf>
    <xf numFmtId="0" fontId="6" fillId="0" borderId="0" xfId="0" applyFont="1" applyAlignment="1" quotePrefix="1">
      <alignment/>
    </xf>
    <xf numFmtId="0" fontId="6" fillId="0" borderId="0" xfId="0" applyFont="1" applyAlignment="1" quotePrefix="1">
      <alignment horizontal="right"/>
    </xf>
    <xf numFmtId="183" fontId="6" fillId="0" borderId="0" xfId="0" applyNumberFormat="1" applyFont="1" applyAlignment="1" quotePrefix="1">
      <alignment horizontal="right" shrinkToFit="1"/>
    </xf>
    <xf numFmtId="0" fontId="6" fillId="0" borderId="0" xfId="0" applyFont="1" applyAlignment="1">
      <alignment shrinkToFit="1"/>
    </xf>
    <xf numFmtId="183" fontId="6" fillId="0" borderId="0" xfId="0" applyNumberFormat="1" applyFont="1" applyAlignment="1" quotePrefix="1">
      <alignment horizontal="right"/>
    </xf>
    <xf numFmtId="0" fontId="6" fillId="0" borderId="0" xfId="0" applyFont="1" applyBorder="1" applyAlignment="1" quotePrefix="1">
      <alignment horizontal="right"/>
    </xf>
    <xf numFmtId="0" fontId="0" fillId="0" borderId="0" xfId="0" applyBorder="1" applyAlignment="1">
      <alignment horizontal="right"/>
    </xf>
    <xf numFmtId="0" fontId="6" fillId="0" borderId="0" xfId="0" applyFont="1" applyFill="1" applyAlignment="1" quotePrefix="1">
      <alignment horizontal="right"/>
    </xf>
    <xf numFmtId="0" fontId="6" fillId="0" borderId="0" xfId="0" applyFont="1" applyFill="1" applyAlignment="1" quotePrefix="1">
      <alignment/>
    </xf>
    <xf numFmtId="0" fontId="6" fillId="0" borderId="0" xfId="0" applyFont="1" applyFill="1" applyAlignment="1">
      <alignment/>
    </xf>
    <xf numFmtId="181" fontId="6" fillId="0" borderId="0" xfId="0" applyNumberFormat="1" applyFont="1" applyAlignment="1">
      <alignment/>
    </xf>
    <xf numFmtId="0" fontId="7" fillId="0" borderId="0" xfId="0" applyFont="1" applyAlignment="1">
      <alignment/>
    </xf>
    <xf numFmtId="184" fontId="6" fillId="0" borderId="0" xfId="0" applyNumberFormat="1" applyFont="1" applyAlignment="1">
      <alignment/>
    </xf>
    <xf numFmtId="0" fontId="6" fillId="0" borderId="0" xfId="0" applyFont="1" applyAlignment="1" quotePrefix="1">
      <alignment horizontal="right" shrinkToFit="1"/>
    </xf>
    <xf numFmtId="0" fontId="6" fillId="0" borderId="0" xfId="0" applyFont="1" applyAlignment="1">
      <alignment horizontal="right" shrinkToFit="1"/>
    </xf>
    <xf numFmtId="184" fontId="6" fillId="0" borderId="0" xfId="0" applyNumberFormat="1" applyFont="1" applyAlignment="1">
      <alignment horizontal="right"/>
    </xf>
    <xf numFmtId="183" fontId="6" fillId="0" borderId="0" xfId="0" applyNumberFormat="1" applyFont="1" applyBorder="1" applyAlignment="1">
      <alignment horizontal="right"/>
    </xf>
    <xf numFmtId="0" fontId="6" fillId="0" borderId="65" xfId="0" applyFont="1" applyBorder="1" applyAlignment="1">
      <alignment/>
    </xf>
    <xf numFmtId="184" fontId="6" fillId="0" borderId="48" xfId="0" applyNumberFormat="1" applyFont="1" applyBorder="1" applyAlignment="1">
      <alignment horizontal="right"/>
    </xf>
    <xf numFmtId="183" fontId="6" fillId="0" borderId="75" xfId="0" applyNumberFormat="1" applyFont="1" applyFill="1" applyBorder="1" applyAlignment="1" applyProtection="1">
      <alignment horizontal="right"/>
      <protection/>
    </xf>
    <xf numFmtId="183" fontId="6" fillId="0" borderId="45" xfId="0" applyNumberFormat="1" applyFont="1" applyFill="1" applyBorder="1" applyAlignment="1" applyProtection="1">
      <alignment horizontal="right"/>
      <protection/>
    </xf>
    <xf numFmtId="0" fontId="19" fillId="0" borderId="0" xfId="0" applyFont="1" applyBorder="1" applyAlignment="1">
      <alignment vertical="top"/>
    </xf>
    <xf numFmtId="0" fontId="6" fillId="34" borderId="0" xfId="0" applyFont="1" applyFill="1" applyBorder="1" applyAlignment="1">
      <alignment/>
    </xf>
    <xf numFmtId="0" fontId="6" fillId="34" borderId="0" xfId="0" applyFont="1" applyFill="1" applyAlignment="1">
      <alignment/>
    </xf>
    <xf numFmtId="0" fontId="63" fillId="0" borderId="0" xfId="0" applyFont="1" applyBorder="1" applyAlignment="1">
      <alignment/>
    </xf>
    <xf numFmtId="183" fontId="6" fillId="0" borderId="76" xfId="0" applyNumberFormat="1" applyFont="1" applyBorder="1" applyAlignment="1">
      <alignment/>
    </xf>
    <xf numFmtId="183" fontId="6" fillId="0" borderId="44" xfId="0" applyNumberFormat="1" applyFont="1" applyBorder="1" applyAlignment="1">
      <alignment/>
    </xf>
    <xf numFmtId="183" fontId="6" fillId="0" borderId="77" xfId="0" applyNumberFormat="1" applyFont="1" applyBorder="1" applyAlignment="1">
      <alignment/>
    </xf>
    <xf numFmtId="183" fontId="6" fillId="33" borderId="32" xfId="0" applyNumberFormat="1" applyFont="1" applyFill="1" applyBorder="1" applyAlignment="1" applyProtection="1">
      <alignment/>
      <protection locked="0"/>
    </xf>
    <xf numFmtId="183" fontId="6" fillId="33" borderId="73" xfId="0" applyNumberFormat="1" applyFont="1" applyFill="1" applyBorder="1" applyAlignment="1" applyProtection="1">
      <alignment/>
      <protection locked="0"/>
    </xf>
    <xf numFmtId="183" fontId="6" fillId="33" borderId="58" xfId="0" applyNumberFormat="1" applyFont="1" applyFill="1" applyBorder="1" applyAlignment="1" applyProtection="1">
      <alignment/>
      <protection locked="0"/>
    </xf>
    <xf numFmtId="0" fontId="6" fillId="0" borderId="0" xfId="0" applyFont="1" applyBorder="1" applyAlignment="1">
      <alignment horizontal="left"/>
    </xf>
    <xf numFmtId="183" fontId="6" fillId="0" borderId="48" xfId="0" applyNumberFormat="1" applyFont="1" applyBorder="1" applyAlignment="1" quotePrefix="1">
      <alignment horizontal="left"/>
    </xf>
    <xf numFmtId="183" fontId="6" fillId="0" borderId="0" xfId="0" applyNumberFormat="1" applyFont="1" applyBorder="1" applyAlignment="1">
      <alignment horizontal="left"/>
    </xf>
    <xf numFmtId="0" fontId="19" fillId="0" borderId="0" xfId="0" applyFont="1" applyFill="1" applyBorder="1" applyAlignment="1" applyProtection="1">
      <alignment horizontal="center"/>
      <protection locked="0"/>
    </xf>
    <xf numFmtId="183" fontId="6" fillId="0" borderId="0" xfId="0" applyNumberFormat="1" applyFont="1" applyFill="1" applyBorder="1" applyAlignment="1" applyProtection="1">
      <alignment horizontal="center"/>
      <protection/>
    </xf>
    <xf numFmtId="195" fontId="6" fillId="0" borderId="0" xfId="0" applyNumberFormat="1" applyFont="1" applyFill="1" applyBorder="1" applyAlignment="1" applyProtection="1">
      <alignment/>
      <protection/>
    </xf>
    <xf numFmtId="193"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6" fillId="0" borderId="0" xfId="0" applyFont="1" applyFill="1" applyBorder="1" applyAlignment="1" applyProtection="1" quotePrefix="1">
      <alignment/>
      <protection/>
    </xf>
    <xf numFmtId="183" fontId="6" fillId="33" borderId="0" xfId="0" applyNumberFormat="1" applyFont="1" applyFill="1" applyBorder="1" applyAlignment="1" applyProtection="1">
      <alignment/>
      <protection locked="0"/>
    </xf>
    <xf numFmtId="0" fontId="6" fillId="0" borderId="35" xfId="0" applyFont="1" applyBorder="1" applyAlignment="1">
      <alignment vertical="top"/>
    </xf>
    <xf numFmtId="0" fontId="12" fillId="0" borderId="34" xfId="0" applyFont="1" applyBorder="1" applyAlignment="1">
      <alignment vertical="top"/>
    </xf>
    <xf numFmtId="0" fontId="6" fillId="0" borderId="48" xfId="0" applyFont="1" applyBorder="1" applyAlignment="1">
      <alignment horizontal="center" vertical="center"/>
    </xf>
    <xf numFmtId="0" fontId="6" fillId="0" borderId="25" xfId="0" applyFont="1" applyBorder="1" applyAlignment="1" quotePrefix="1">
      <alignment vertical="center"/>
    </xf>
    <xf numFmtId="193" fontId="24" fillId="0" borderId="0" xfId="0" applyNumberFormat="1" applyFont="1" applyBorder="1" applyAlignment="1">
      <alignment/>
    </xf>
    <xf numFmtId="193" fontId="25" fillId="0" borderId="0" xfId="0" applyNumberFormat="1" applyFont="1" applyBorder="1" applyAlignment="1">
      <alignment/>
    </xf>
    <xf numFmtId="196" fontId="0" fillId="0" borderId="0" xfId="0" applyNumberFormat="1" applyFill="1" applyBorder="1" applyAlignment="1" applyProtection="1">
      <alignment/>
      <protection/>
    </xf>
    <xf numFmtId="193" fontId="6" fillId="0" borderId="0" xfId="0" applyNumberFormat="1" applyFont="1" applyAlignment="1">
      <alignment/>
    </xf>
    <xf numFmtId="0" fontId="6" fillId="0" borderId="0" xfId="0" applyFont="1" applyAlignment="1" applyProtection="1">
      <alignment shrinkToFit="1"/>
      <protection/>
    </xf>
    <xf numFmtId="0" fontId="6" fillId="0" borderId="70" xfId="0" applyFont="1" applyFill="1" applyBorder="1" applyAlignment="1">
      <alignment vertical="top"/>
    </xf>
    <xf numFmtId="0" fontId="21" fillId="0" borderId="0" xfId="0" applyFont="1" applyBorder="1" applyAlignment="1">
      <alignment horizontal="left"/>
    </xf>
    <xf numFmtId="183" fontId="6" fillId="0" borderId="0" xfId="0" applyNumberFormat="1" applyFont="1" applyAlignment="1" quotePrefix="1">
      <alignment horizontal="left"/>
    </xf>
    <xf numFmtId="0" fontId="6" fillId="34" borderId="27" xfId="0" applyFont="1" applyFill="1" applyBorder="1" applyAlignment="1" applyProtection="1">
      <alignment/>
      <protection/>
    </xf>
    <xf numFmtId="0" fontId="6" fillId="0" borderId="20" xfId="0" applyFont="1" applyFill="1" applyBorder="1" applyAlignment="1" applyProtection="1">
      <alignment/>
      <protection/>
    </xf>
    <xf numFmtId="0" fontId="6" fillId="0" borderId="14" xfId="0" applyFont="1" applyFill="1" applyBorder="1" applyAlignment="1">
      <alignment/>
    </xf>
    <xf numFmtId="0" fontId="6" fillId="33" borderId="11" xfId="0" applyFont="1" applyFill="1" applyBorder="1" applyAlignment="1" applyProtection="1">
      <alignment horizontal="right"/>
      <protection locked="0"/>
    </xf>
    <xf numFmtId="0" fontId="6" fillId="33" borderId="0" xfId="0" applyFont="1" applyFill="1" applyBorder="1" applyAlignment="1" applyProtection="1">
      <alignment horizontal="right"/>
      <protection locked="0"/>
    </xf>
    <xf numFmtId="177" fontId="6" fillId="0" borderId="48" xfId="0" applyNumberFormat="1" applyFont="1" applyBorder="1" applyAlignment="1">
      <alignment/>
    </xf>
    <xf numFmtId="177" fontId="6" fillId="0" borderId="49" xfId="0" applyNumberFormat="1" applyFont="1" applyBorder="1" applyAlignment="1">
      <alignment/>
    </xf>
    <xf numFmtId="0" fontId="0" fillId="0" borderId="10" xfId="0" applyBorder="1" applyAlignment="1" applyProtection="1">
      <alignment/>
      <protection/>
    </xf>
    <xf numFmtId="0" fontId="64" fillId="0" borderId="10" xfId="0" applyFont="1" applyFill="1" applyBorder="1" applyAlignment="1" applyProtection="1">
      <alignment/>
      <protection/>
    </xf>
    <xf numFmtId="0" fontId="6" fillId="0" borderId="41" xfId="0" applyFont="1" applyBorder="1" applyAlignment="1">
      <alignment/>
    </xf>
    <xf numFmtId="0" fontId="64" fillId="0" borderId="0" xfId="0" applyFont="1" applyFill="1" applyBorder="1" applyAlignment="1" applyProtection="1">
      <alignment/>
      <protection locked="0"/>
    </xf>
    <xf numFmtId="0" fontId="0" fillId="0" borderId="0" xfId="0" applyAlignment="1">
      <alignment/>
    </xf>
    <xf numFmtId="0" fontId="0" fillId="0" borderId="10" xfId="0" applyBorder="1" applyAlignment="1">
      <alignment vertical="center"/>
    </xf>
    <xf numFmtId="0" fontId="64" fillId="0" borderId="10" xfId="0" applyFont="1" applyFill="1" applyBorder="1" applyAlignment="1" applyProtection="1">
      <alignment/>
      <protection locked="0"/>
    </xf>
    <xf numFmtId="0" fontId="64" fillId="0" borderId="0" xfId="0" applyFont="1" applyFill="1" applyBorder="1" applyAlignment="1" applyProtection="1">
      <alignment vertical="center"/>
      <protection locked="0"/>
    </xf>
    <xf numFmtId="0" fontId="0" fillId="0" borderId="0" xfId="0" applyAlignment="1">
      <alignment vertical="center"/>
    </xf>
    <xf numFmtId="0" fontId="12" fillId="0" borderId="0" xfId="42" applyFont="1" applyFill="1" applyBorder="1" applyAlignment="1" applyProtection="1">
      <alignment/>
      <protection/>
    </xf>
    <xf numFmtId="0" fontId="19" fillId="0" borderId="10" xfId="0" applyFont="1" applyFill="1" applyBorder="1" applyAlignment="1" applyProtection="1">
      <alignment/>
      <protection/>
    </xf>
    <xf numFmtId="0" fontId="6" fillId="33" borderId="68" xfId="0" applyFont="1" applyFill="1" applyBorder="1" applyAlignment="1" applyProtection="1">
      <alignment/>
      <protection locked="0"/>
    </xf>
    <xf numFmtId="0" fontId="0" fillId="0" borderId="38" xfId="0" applyBorder="1" applyAlignment="1" applyProtection="1">
      <alignment/>
      <protection locked="0"/>
    </xf>
    <xf numFmtId="0" fontId="0" fillId="0" borderId="69" xfId="0" applyBorder="1" applyAlignment="1" applyProtection="1">
      <alignment/>
      <protection locked="0"/>
    </xf>
    <xf numFmtId="0" fontId="25" fillId="0" borderId="0" xfId="0" applyFont="1" applyBorder="1" applyAlignment="1">
      <alignment horizontal="center"/>
    </xf>
    <xf numFmtId="0" fontId="25" fillId="0" borderId="0" xfId="0" applyFont="1" applyAlignment="1">
      <alignment horizontal="center"/>
    </xf>
    <xf numFmtId="0" fontId="6" fillId="0" borderId="14" xfId="0" applyFont="1"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3" fillId="0" borderId="0" xfId="0" applyFont="1" applyBorder="1" applyAlignment="1">
      <alignment/>
    </xf>
    <xf numFmtId="0" fontId="14" fillId="0" borderId="0" xfId="0" applyFont="1" applyBorder="1" applyAlignment="1">
      <alignment/>
    </xf>
    <xf numFmtId="0" fontId="6" fillId="33" borderId="39" xfId="0" applyFont="1" applyFill="1" applyBorder="1" applyAlignment="1" applyProtection="1">
      <alignment/>
      <protection locked="0"/>
    </xf>
    <xf numFmtId="0" fontId="0" fillId="0" borderId="46" xfId="0" applyBorder="1" applyAlignment="1" applyProtection="1">
      <alignment/>
      <protection locked="0"/>
    </xf>
    <xf numFmtId="0" fontId="0" fillId="0" borderId="57" xfId="0" applyBorder="1" applyAlignment="1" applyProtection="1">
      <alignment/>
      <protection locked="0"/>
    </xf>
    <xf numFmtId="0" fontId="6" fillId="0" borderId="18" xfId="0" applyFont="1" applyBorder="1" applyAlignment="1" applyProtection="1">
      <alignment/>
      <protection/>
    </xf>
    <xf numFmtId="0" fontId="0" fillId="0" borderId="11" xfId="0" applyBorder="1" applyAlignment="1" applyProtection="1">
      <alignment/>
      <protection/>
    </xf>
    <xf numFmtId="0" fontId="0" fillId="0" borderId="21" xfId="0" applyBorder="1" applyAlignment="1" applyProtection="1">
      <alignment/>
      <protection/>
    </xf>
    <xf numFmtId="0" fontId="6" fillId="33" borderId="18" xfId="0"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6" fillId="33" borderId="24" xfId="0" applyFont="1" applyFill="1"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6" fillId="33" borderId="22" xfId="0" applyFont="1" applyFill="1" applyBorder="1" applyAlignment="1" applyProtection="1">
      <alignment/>
      <protection locked="0"/>
    </xf>
    <xf numFmtId="0" fontId="0" fillId="0" borderId="12" xfId="0" applyBorder="1" applyAlignment="1" applyProtection="1">
      <alignment/>
      <protection locked="0"/>
    </xf>
    <xf numFmtId="0" fontId="0" fillId="0" borderId="23" xfId="0" applyBorder="1" applyAlignment="1" applyProtection="1">
      <alignment/>
      <protection locked="0"/>
    </xf>
    <xf numFmtId="0" fontId="6" fillId="33" borderId="25" xfId="0" applyFont="1" applyFill="1" applyBorder="1" applyAlignment="1" applyProtection="1">
      <alignment/>
      <protection locked="0"/>
    </xf>
    <xf numFmtId="0" fontId="6" fillId="33" borderId="26" xfId="0" applyFont="1" applyFill="1" applyBorder="1" applyAlignment="1" applyProtection="1">
      <alignment/>
      <protection locked="0"/>
    </xf>
    <xf numFmtId="183" fontId="6" fillId="0" borderId="48" xfId="0" applyNumberFormat="1" applyFont="1" applyBorder="1" applyAlignment="1">
      <alignment horizontal="right"/>
    </xf>
    <xf numFmtId="183" fontId="6" fillId="0" borderId="30" xfId="0" applyNumberFormat="1" applyFont="1" applyBorder="1" applyAlignment="1">
      <alignment/>
    </xf>
    <xf numFmtId="0" fontId="0" fillId="0" borderId="26" xfId="0" applyBorder="1" applyAlignment="1">
      <alignment/>
    </xf>
    <xf numFmtId="49" fontId="6" fillId="0" borderId="0" xfId="0" applyNumberFormat="1" applyFont="1" applyFill="1" applyBorder="1" applyAlignment="1" applyProtection="1">
      <alignment horizontal="center"/>
      <protection/>
    </xf>
    <xf numFmtId="0" fontId="0" fillId="0" borderId="0" xfId="0" applyBorder="1" applyAlignment="1">
      <alignment horizontal="center"/>
    </xf>
    <xf numFmtId="183" fontId="6" fillId="0" borderId="49" xfId="0" applyNumberFormat="1" applyFont="1" applyBorder="1" applyAlignment="1">
      <alignment horizontal="right"/>
    </xf>
    <xf numFmtId="0" fontId="6" fillId="0" borderId="27" xfId="0" applyFont="1" applyBorder="1" applyAlignment="1">
      <alignment vertical="center" wrapText="1"/>
    </xf>
    <xf numFmtId="0" fontId="0" fillId="0" borderId="27" xfId="0" applyBorder="1" applyAlignment="1">
      <alignment vertical="center" wrapText="1"/>
    </xf>
    <xf numFmtId="0" fontId="6" fillId="33" borderId="14" xfId="0" applyFont="1" applyFill="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4" xfId="0" applyFont="1" applyFill="1" applyBorder="1" applyAlignment="1" quotePrefix="1">
      <alignment vertical="center" wrapText="1"/>
    </xf>
    <xf numFmtId="0" fontId="0" fillId="0" borderId="15" xfId="0" applyFill="1" applyBorder="1" applyAlignment="1">
      <alignment vertical="center" wrapText="1"/>
    </xf>
    <xf numFmtId="0" fontId="0" fillId="0" borderId="37" xfId="0" applyFill="1" applyBorder="1" applyAlignment="1">
      <alignment vertical="center" wrapTex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16" xfId="0" applyFill="1" applyBorder="1" applyAlignment="1">
      <alignment vertical="center" wrapText="1"/>
    </xf>
    <xf numFmtId="0" fontId="0" fillId="0" borderId="20" xfId="0" applyFill="1" applyBorder="1" applyAlignment="1">
      <alignment vertical="center" wrapText="1"/>
    </xf>
    <xf numFmtId="0" fontId="0" fillId="0" borderId="10" xfId="0" applyFill="1" applyBorder="1" applyAlignment="1">
      <alignment vertical="center" wrapText="1"/>
    </xf>
    <xf numFmtId="0" fontId="0" fillId="0" borderId="17" xfId="0" applyFill="1" applyBorder="1" applyAlignment="1">
      <alignment vertical="center" wrapText="1"/>
    </xf>
    <xf numFmtId="0" fontId="6" fillId="0" borderId="0" xfId="0" applyFont="1" applyBorder="1" applyAlignment="1" applyProtection="1">
      <alignment vertical="top" wrapText="1"/>
      <protection locked="0"/>
    </xf>
    <xf numFmtId="0" fontId="6" fillId="0" borderId="0" xfId="0" applyFont="1" applyBorder="1" applyAlignment="1">
      <alignment horizontal="right"/>
    </xf>
    <xf numFmtId="0" fontId="0" fillId="0" borderId="27" xfId="0" applyBorder="1" applyAlignment="1">
      <alignment wrapText="1"/>
    </xf>
    <xf numFmtId="14"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18"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6" fillId="0" borderId="28" xfId="0" applyFont="1" applyBorder="1" applyAlignment="1">
      <alignment/>
    </xf>
    <xf numFmtId="0" fontId="6" fillId="0" borderId="13" xfId="0" applyFont="1" applyBorder="1" applyAlignment="1">
      <alignment/>
    </xf>
    <xf numFmtId="0" fontId="6" fillId="0" borderId="12" xfId="0" applyFont="1" applyBorder="1" applyAlignment="1">
      <alignment shrinkToFit="1"/>
    </xf>
    <xf numFmtId="0" fontId="6" fillId="0" borderId="23" xfId="0" applyFont="1" applyBorder="1" applyAlignment="1">
      <alignment shrinkToFit="1"/>
    </xf>
    <xf numFmtId="0" fontId="5" fillId="0" borderId="18" xfId="0" applyFont="1" applyBorder="1" applyAlignment="1">
      <alignment horizontal="center" vertical="center"/>
    </xf>
    <xf numFmtId="0" fontId="0" fillId="0" borderId="11" xfId="0" applyBorder="1" applyAlignment="1">
      <alignment/>
    </xf>
    <xf numFmtId="0" fontId="0" fillId="0" borderId="21" xfId="0" applyBorder="1" applyAlignment="1">
      <alignment/>
    </xf>
    <xf numFmtId="0" fontId="6" fillId="0" borderId="22" xfId="0" applyFont="1" applyBorder="1" applyAlignment="1">
      <alignment/>
    </xf>
    <xf numFmtId="0" fontId="0" fillId="0" borderId="23" xfId="0" applyBorder="1" applyAlignment="1">
      <alignment/>
    </xf>
    <xf numFmtId="0" fontId="6" fillId="0" borderId="0" xfId="0" applyFont="1" applyBorder="1" applyAlignment="1">
      <alignment shrinkToFit="1"/>
    </xf>
    <xf numFmtId="0" fontId="6" fillId="0" borderId="48" xfId="0" applyFont="1" applyBorder="1" applyAlignment="1">
      <alignment horizontal="center"/>
    </xf>
    <xf numFmtId="0" fontId="0" fillId="0" borderId="37" xfId="0" applyBorder="1" applyAlignment="1">
      <alignment horizontal="center"/>
    </xf>
    <xf numFmtId="184" fontId="6" fillId="0" borderId="36" xfId="0" applyNumberFormat="1" applyFont="1" applyFill="1" applyBorder="1" applyAlignment="1">
      <alignment horizontal="center" vertical="center"/>
    </xf>
    <xf numFmtId="0" fontId="0" fillId="0" borderId="6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6" fillId="0" borderId="39" xfId="0" applyFont="1" applyBorder="1" applyAlignment="1">
      <alignment shrinkToFit="1"/>
    </xf>
    <xf numFmtId="0" fontId="0" fillId="0" borderId="46" xfId="0" applyBorder="1" applyAlignment="1">
      <alignment shrinkToFit="1"/>
    </xf>
    <xf numFmtId="0" fontId="0" fillId="0" borderId="47" xfId="0" applyBorder="1" applyAlignment="1">
      <alignment shrinkToFit="1"/>
    </xf>
    <xf numFmtId="0" fontId="6" fillId="0" borderId="39" xfId="0" applyFont="1" applyBorder="1" applyAlignment="1">
      <alignment/>
    </xf>
    <xf numFmtId="0" fontId="0" fillId="0" borderId="47" xfId="0" applyBorder="1" applyAlignment="1">
      <alignment/>
    </xf>
    <xf numFmtId="0" fontId="6" fillId="0" borderId="18" xfId="0" applyFont="1" applyFill="1" applyBorder="1" applyAlignment="1" quotePrefix="1">
      <alignment vertical="center" shrinkToFit="1"/>
    </xf>
    <xf numFmtId="0" fontId="0" fillId="0" borderId="11" xfId="0" applyBorder="1" applyAlignment="1">
      <alignment shrinkToFit="1"/>
    </xf>
    <xf numFmtId="0" fontId="0" fillId="0" borderId="21" xfId="0" applyBorder="1" applyAlignment="1">
      <alignment shrinkToFit="1"/>
    </xf>
    <xf numFmtId="0" fontId="6" fillId="0" borderId="71" xfId="0" applyFont="1" applyBorder="1" applyAlignment="1">
      <alignment wrapText="1"/>
    </xf>
    <xf numFmtId="0" fontId="6" fillId="0" borderId="50" xfId="0" applyFont="1" applyBorder="1" applyAlignment="1">
      <alignment wrapText="1"/>
    </xf>
    <xf numFmtId="0" fontId="6" fillId="0" borderId="48" xfId="0" applyFont="1" applyBorder="1" applyAlignment="1">
      <alignment wrapText="1"/>
    </xf>
    <xf numFmtId="0" fontId="6" fillId="0" borderId="55" xfId="0" applyFont="1" applyBorder="1" applyAlignment="1">
      <alignment horizontal="center"/>
    </xf>
    <xf numFmtId="0" fontId="6" fillId="0" borderId="78" xfId="0" applyFon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6" fillId="33" borderId="27" xfId="0" applyFont="1" applyFill="1" applyBorder="1" applyAlignment="1" applyProtection="1">
      <alignment vertical="top" wrapText="1"/>
      <protection locked="0"/>
    </xf>
    <xf numFmtId="0" fontId="6" fillId="0" borderId="55" xfId="0" applyFont="1" applyBorder="1" applyAlignment="1">
      <alignment horizontal="center" wrapText="1"/>
    </xf>
    <xf numFmtId="0" fontId="0" fillId="0" borderId="78" xfId="0" applyBorder="1" applyAlignment="1">
      <alignment horizontal="center" wrapText="1"/>
    </xf>
    <xf numFmtId="0" fontId="6" fillId="0" borderId="70" xfId="0" applyFont="1" applyBorder="1" applyAlignment="1">
      <alignment horizontal="center" wrapText="1"/>
    </xf>
    <xf numFmtId="0" fontId="0" fillId="0" borderId="76" xfId="0" applyBorder="1" applyAlignment="1">
      <alignment horizontal="center" wrapText="1"/>
    </xf>
    <xf numFmtId="0" fontId="0" fillId="0" borderId="79" xfId="0" applyBorder="1" applyAlignment="1">
      <alignment horizontal="center" wrapText="1"/>
    </xf>
    <xf numFmtId="0" fontId="0" fillId="0" borderId="80" xfId="0" applyBorder="1" applyAlignment="1">
      <alignment horizontal="center" wrapText="1"/>
    </xf>
    <xf numFmtId="49" fontId="6" fillId="0" borderId="71" xfId="0" applyNumberFormat="1" applyFont="1" applyBorder="1" applyAlignment="1">
      <alignment wrapText="1"/>
    </xf>
    <xf numFmtId="49" fontId="6" fillId="0" borderId="50" xfId="0" applyNumberFormat="1" applyFont="1" applyBorder="1" applyAlignment="1">
      <alignment wrapText="1"/>
    </xf>
    <xf numFmtId="49" fontId="6" fillId="0" borderId="48" xfId="0" applyNumberFormat="1" applyFont="1" applyBorder="1" applyAlignment="1">
      <alignment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33" borderId="15" xfId="0" applyFont="1" applyFill="1" applyBorder="1" applyAlignment="1" applyProtection="1">
      <alignment vertical="top" wrapText="1"/>
      <protection locked="0"/>
    </xf>
    <xf numFmtId="0" fontId="6" fillId="33" borderId="37" xfId="0" applyFont="1" applyFill="1" applyBorder="1" applyAlignment="1" applyProtection="1">
      <alignment vertical="top" wrapText="1"/>
      <protection locked="0"/>
    </xf>
    <xf numFmtId="0" fontId="6" fillId="33" borderId="19" xfId="0" applyFont="1" applyFill="1" applyBorder="1" applyAlignment="1" applyProtection="1">
      <alignment vertical="top" wrapText="1"/>
      <protection locked="0"/>
    </xf>
    <xf numFmtId="0" fontId="6" fillId="33" borderId="0" xfId="0" applyFont="1" applyFill="1" applyBorder="1" applyAlignment="1" applyProtection="1">
      <alignment vertical="top" wrapText="1"/>
      <protection locked="0"/>
    </xf>
    <xf numFmtId="0" fontId="6" fillId="33" borderId="16" xfId="0" applyFont="1" applyFill="1" applyBorder="1" applyAlignment="1" applyProtection="1">
      <alignment vertical="top" wrapText="1"/>
      <protection locked="0"/>
    </xf>
    <xf numFmtId="0" fontId="6" fillId="33" borderId="20" xfId="0" applyFont="1" applyFill="1" applyBorder="1" applyAlignment="1" applyProtection="1">
      <alignment vertical="top" wrapText="1"/>
      <protection locked="0"/>
    </xf>
    <xf numFmtId="0" fontId="6" fillId="33" borderId="10" xfId="0" applyFont="1" applyFill="1" applyBorder="1" applyAlignment="1" applyProtection="1">
      <alignment vertical="top" wrapText="1"/>
      <protection locked="0"/>
    </xf>
    <xf numFmtId="0" fontId="6" fillId="33" borderId="17" xfId="0" applyFont="1" applyFill="1" applyBorder="1" applyAlignment="1" applyProtection="1">
      <alignment vertical="top" wrapText="1"/>
      <protection locked="0"/>
    </xf>
    <xf numFmtId="183" fontId="6" fillId="0" borderId="56" xfId="0" applyNumberFormat="1" applyFont="1" applyBorder="1" applyAlignment="1">
      <alignment/>
    </xf>
    <xf numFmtId="0" fontId="11" fillId="0" borderId="81" xfId="0" applyFont="1" applyBorder="1" applyAlignment="1">
      <alignment horizontal="center" vertical="center" wrapText="1"/>
    </xf>
    <xf numFmtId="0" fontId="11" fillId="0" borderId="7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4" xfId="0" applyFont="1"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6" fillId="0" borderId="14" xfId="0" applyFont="1" applyBorder="1" applyAlignment="1">
      <alignment vertical="center" wrapText="1"/>
    </xf>
    <xf numFmtId="0" fontId="0" fillId="0" borderId="15" xfId="0" applyBorder="1" applyAlignment="1">
      <alignment vertical="center" wrapText="1"/>
    </xf>
    <xf numFmtId="0" fontId="0" fillId="0" borderId="37"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6" fillId="0" borderId="27" xfId="0" applyFont="1" applyBorder="1" applyAlignment="1">
      <alignment vertical="center" textRotation="255" wrapText="1"/>
    </xf>
    <xf numFmtId="0" fontId="0" fillId="0" borderId="27" xfId="0" applyBorder="1" applyAlignment="1">
      <alignment vertical="center" textRotation="255"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50" xfId="0" applyBorder="1" applyAlignment="1">
      <alignment horizontal="center" vertical="center"/>
    </xf>
    <xf numFmtId="183" fontId="6" fillId="0" borderId="36" xfId="0" applyNumberFormat="1" applyFont="1" applyBorder="1" applyAlignment="1">
      <alignment horizontal="center" vertical="center"/>
    </xf>
    <xf numFmtId="0" fontId="0" fillId="0" borderId="69" xfId="0" applyBorder="1" applyAlignment="1">
      <alignment horizontal="center" vertical="center"/>
    </xf>
    <xf numFmtId="183" fontId="6" fillId="0" borderId="0" xfId="0" applyNumberFormat="1" applyFont="1" applyBorder="1" applyAlignment="1">
      <alignment/>
    </xf>
    <xf numFmtId="0" fontId="0" fillId="0" borderId="57" xfId="0" applyBorder="1" applyAlignment="1">
      <alignment/>
    </xf>
    <xf numFmtId="0" fontId="6" fillId="0" borderId="75" xfId="0" applyFont="1" applyBorder="1" applyAlignment="1">
      <alignment horizontal="center"/>
    </xf>
    <xf numFmtId="0" fontId="0" fillId="0" borderId="44" xfId="0" applyBorder="1" applyAlignment="1">
      <alignment/>
    </xf>
    <xf numFmtId="183" fontId="6" fillId="0" borderId="68" xfId="0" applyNumberFormat="1" applyFont="1" applyBorder="1" applyAlignment="1">
      <alignment vertical="center"/>
    </xf>
    <xf numFmtId="0" fontId="0" fillId="0" borderId="82" xfId="0" applyBorder="1" applyAlignment="1">
      <alignment vertical="center"/>
    </xf>
    <xf numFmtId="0" fontId="0" fillId="0" borderId="31" xfId="0" applyBorder="1" applyAlignment="1">
      <alignment vertical="center"/>
    </xf>
    <xf numFmtId="0" fontId="0" fillId="0" borderId="77" xfId="0" applyBorder="1" applyAlignment="1">
      <alignment vertical="center"/>
    </xf>
    <xf numFmtId="0" fontId="6" fillId="0" borderId="37" xfId="0" applyFont="1" applyBorder="1" applyAlignment="1">
      <alignment horizontal="center"/>
    </xf>
    <xf numFmtId="0" fontId="0" fillId="0" borderId="83" xfId="0" applyBorder="1" applyAlignment="1">
      <alignment horizontal="center"/>
    </xf>
    <xf numFmtId="183" fontId="6" fillId="0" borderId="0" xfId="0" applyNumberFormat="1" applyFont="1" applyBorder="1" applyAlignment="1">
      <alignment horizontal="center" vertical="center"/>
    </xf>
    <xf numFmtId="0" fontId="0" fillId="0" borderId="0" xfId="0" applyAlignment="1">
      <alignment horizontal="center" vertical="center"/>
    </xf>
    <xf numFmtId="0" fontId="6" fillId="0" borderId="29" xfId="0" applyFont="1" applyBorder="1" applyAlignment="1">
      <alignment/>
    </xf>
    <xf numFmtId="0" fontId="0" fillId="0" borderId="12" xfId="0" applyBorder="1" applyAlignment="1">
      <alignment/>
    </xf>
    <xf numFmtId="0" fontId="6" fillId="0" borderId="56" xfId="0" applyFont="1" applyBorder="1" applyAlignment="1">
      <alignment/>
    </xf>
    <xf numFmtId="0" fontId="0" fillId="0" borderId="46" xfId="0" applyBorder="1" applyAlignment="1">
      <alignment/>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0" fillId="0" borderId="27" xfId="0" applyBorder="1" applyAlignment="1">
      <alignment horizontal="center" vertical="center"/>
    </xf>
    <xf numFmtId="0" fontId="6" fillId="0" borderId="14" xfId="0" applyFont="1" applyBorder="1" applyAlignment="1">
      <alignment vertical="top" wrapText="1"/>
    </xf>
    <xf numFmtId="0" fontId="6" fillId="0" borderId="37" xfId="0" applyFont="1" applyBorder="1" applyAlignment="1">
      <alignment vertical="top" wrapText="1"/>
    </xf>
    <xf numFmtId="0" fontId="6" fillId="0" borderId="19" xfId="0" applyFont="1" applyBorder="1" applyAlignment="1">
      <alignment vertical="top" wrapText="1"/>
    </xf>
    <xf numFmtId="0" fontId="6" fillId="0" borderId="16" xfId="0" applyFont="1" applyBorder="1" applyAlignment="1">
      <alignment vertical="top" wrapText="1"/>
    </xf>
    <xf numFmtId="0" fontId="12" fillId="0" borderId="30" xfId="0" applyFont="1" applyFill="1" applyBorder="1" applyAlignment="1">
      <alignment vertical="top" shrinkToFit="1"/>
    </xf>
    <xf numFmtId="0" fontId="0" fillId="0" borderId="25" xfId="0" applyBorder="1" applyAlignment="1">
      <alignment vertical="top" shrinkToFit="1"/>
    </xf>
    <xf numFmtId="0" fontId="0" fillId="0" borderId="26" xfId="0" applyBorder="1" applyAlignment="1">
      <alignment vertical="top" shrinkToFit="1"/>
    </xf>
    <xf numFmtId="0" fontId="6" fillId="0" borderId="29" xfId="0" applyFont="1" applyBorder="1" applyAlignment="1">
      <alignment shrinkToFit="1"/>
    </xf>
    <xf numFmtId="0" fontId="0" fillId="0" borderId="12" xfId="0" applyBorder="1" applyAlignment="1">
      <alignment shrinkToFit="1"/>
    </xf>
    <xf numFmtId="0" fontId="6" fillId="0" borderId="49" xfId="0" applyFont="1" applyBorder="1" applyAlignment="1">
      <alignment/>
    </xf>
    <xf numFmtId="0" fontId="0" fillId="0" borderId="49" xfId="0" applyBorder="1" applyAlignment="1">
      <alignment/>
    </xf>
    <xf numFmtId="0" fontId="0" fillId="0" borderId="45" xfId="0" applyBorder="1" applyAlignment="1">
      <alignment/>
    </xf>
    <xf numFmtId="0" fontId="6" fillId="0" borderId="0" xfId="0" applyFont="1" applyBorder="1" applyAlignment="1">
      <alignment vertical="top" wrapText="1"/>
    </xf>
    <xf numFmtId="0" fontId="0" fillId="0" borderId="0" xfId="0" applyAlignment="1">
      <alignment wrapText="1"/>
    </xf>
    <xf numFmtId="191" fontId="0" fillId="0" borderId="0" xfId="0" applyNumberFormat="1" applyBorder="1" applyAlignment="1">
      <alignment horizontal="right" vertical="center"/>
    </xf>
    <xf numFmtId="191" fontId="0" fillId="0" borderId="0" xfId="0" applyNumberFormat="1" applyAlignment="1">
      <alignment/>
    </xf>
    <xf numFmtId="0" fontId="6" fillId="0" borderId="27" xfId="0" applyFont="1" applyBorder="1" applyAlignment="1">
      <alignment horizontal="center" vertical="center" textRotation="255" wrapText="1"/>
    </xf>
    <xf numFmtId="0" fontId="6" fillId="33" borderId="46" xfId="0" applyFont="1" applyFill="1" applyBorder="1" applyAlignment="1" applyProtection="1">
      <alignment/>
      <protection locked="0"/>
    </xf>
    <xf numFmtId="0" fontId="0" fillId="0" borderId="47" xfId="0" applyBorder="1" applyAlignment="1" applyProtection="1">
      <alignment/>
      <protection locked="0"/>
    </xf>
    <xf numFmtId="0" fontId="0" fillId="33" borderId="25" xfId="0" applyFill="1" applyBorder="1" applyAlignment="1" applyProtection="1">
      <alignment/>
      <protection locked="0"/>
    </xf>
    <xf numFmtId="0" fontId="0" fillId="33" borderId="26" xfId="0" applyFill="1" applyBorder="1" applyAlignment="1" applyProtection="1">
      <alignment/>
      <protection locked="0"/>
    </xf>
    <xf numFmtId="0" fontId="0" fillId="0" borderId="37" xfId="0" applyBorder="1" applyAlignment="1">
      <alignment vertical="top" wrapText="1"/>
    </xf>
    <xf numFmtId="0" fontId="0" fillId="0" borderId="19" xfId="0" applyBorder="1" applyAlignment="1">
      <alignment vertical="top" wrapText="1"/>
    </xf>
    <xf numFmtId="0" fontId="0" fillId="0" borderId="16" xfId="0"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6" fillId="0" borderId="0" xfId="0" applyFont="1" applyFill="1" applyBorder="1" applyAlignment="1">
      <alignment vertical="top" wrapText="1"/>
    </xf>
    <xf numFmtId="0" fontId="0" fillId="0" borderId="0" xfId="0" applyBorder="1" applyAlignment="1">
      <alignment wrapText="1"/>
    </xf>
    <xf numFmtId="0" fontId="0" fillId="0" borderId="16" xfId="0" applyBorder="1" applyAlignment="1">
      <alignment wrapText="1"/>
    </xf>
    <xf numFmtId="49" fontId="6" fillId="0" borderId="35" xfId="0" applyNumberFormat="1" applyFont="1" applyBorder="1" applyAlignment="1">
      <alignment vertical="center" textRotation="255" wrapText="1"/>
    </xf>
    <xf numFmtId="0" fontId="0" fillId="0" borderId="41" xfId="0" applyBorder="1" applyAlignment="1">
      <alignment vertical="center" wrapText="1"/>
    </xf>
    <xf numFmtId="0" fontId="0" fillId="0" borderId="34" xfId="0" applyBorder="1" applyAlignment="1">
      <alignment vertical="center" wrapText="1"/>
    </xf>
    <xf numFmtId="0" fontId="0" fillId="0" borderId="0" xfId="0" applyBorder="1" applyAlignment="1">
      <alignment vertical="top" wrapText="1"/>
    </xf>
    <xf numFmtId="0" fontId="0" fillId="0" borderId="10" xfId="0" applyBorder="1" applyAlignment="1">
      <alignment vertical="top" wrapText="1"/>
    </xf>
    <xf numFmtId="0" fontId="6" fillId="0" borderId="14" xfId="0" applyFont="1" applyBorder="1" applyAlignment="1" applyProtection="1">
      <alignment vertical="center"/>
      <protection locked="0"/>
    </xf>
    <xf numFmtId="0" fontId="6" fillId="0" borderId="11"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xf>
    <xf numFmtId="0" fontId="6" fillId="0" borderId="21" xfId="0" applyFont="1" applyBorder="1" applyAlignment="1">
      <alignment/>
    </xf>
    <xf numFmtId="0" fontId="6" fillId="0" borderId="22" xfId="0" applyFont="1" applyFill="1" applyBorder="1" applyAlignment="1" applyProtection="1">
      <alignment/>
      <protection/>
    </xf>
    <xf numFmtId="0" fontId="0" fillId="0" borderId="23" xfId="0" applyFill="1" applyBorder="1" applyAlignment="1" applyProtection="1">
      <alignment/>
      <protection/>
    </xf>
    <xf numFmtId="0" fontId="6" fillId="0" borderId="14" xfId="0" applyFont="1" applyFill="1" applyBorder="1" applyAlignment="1" applyProtection="1">
      <alignment vertical="top"/>
      <protection locked="0"/>
    </xf>
    <xf numFmtId="0" fontId="0" fillId="0" borderId="15" xfId="0" applyFill="1" applyBorder="1" applyAlignment="1" applyProtection="1">
      <alignment vertical="top"/>
      <protection/>
    </xf>
    <xf numFmtId="0" fontId="0" fillId="0" borderId="20" xfId="0" applyFill="1" applyBorder="1" applyAlignment="1" applyProtection="1">
      <alignment vertical="top"/>
      <protection/>
    </xf>
    <xf numFmtId="0" fontId="0" fillId="0" borderId="10" xfId="0" applyFill="1" applyBorder="1" applyAlignment="1" applyProtection="1">
      <alignment vertical="top"/>
      <protection/>
    </xf>
    <xf numFmtId="0" fontId="6" fillId="0" borderId="24" xfId="0" applyFont="1" applyFill="1" applyBorder="1" applyAlignment="1" applyProtection="1">
      <alignment/>
      <protection/>
    </xf>
    <xf numFmtId="0" fontId="0" fillId="0" borderId="26" xfId="0" applyFill="1" applyBorder="1" applyAlignment="1" applyProtection="1">
      <alignment/>
      <protection/>
    </xf>
    <xf numFmtId="183" fontId="6" fillId="0" borderId="27" xfId="0" applyNumberFormat="1" applyFont="1" applyBorder="1" applyAlignment="1">
      <alignment/>
    </xf>
    <xf numFmtId="183" fontId="0" fillId="0" borderId="27" xfId="0" applyNumberFormat="1" applyBorder="1" applyAlignment="1">
      <alignment/>
    </xf>
    <xf numFmtId="0" fontId="6" fillId="0" borderId="20" xfId="0" applyFont="1" applyBorder="1" applyAlignment="1">
      <alignment/>
    </xf>
    <xf numFmtId="0" fontId="0" fillId="0" borderId="10" xfId="0" applyBorder="1" applyAlignment="1">
      <alignment/>
    </xf>
    <xf numFmtId="0" fontId="6" fillId="0" borderId="79" xfId="0" applyFont="1" applyBorder="1" applyAlignment="1">
      <alignment/>
    </xf>
    <xf numFmtId="0" fontId="6" fillId="0" borderId="83" xfId="0" applyFont="1" applyBorder="1" applyAlignment="1">
      <alignment/>
    </xf>
    <xf numFmtId="183" fontId="6" fillId="0" borderId="19" xfId="0" applyNumberFormat="1" applyFont="1" applyBorder="1" applyAlignment="1">
      <alignment/>
    </xf>
    <xf numFmtId="0" fontId="0" fillId="0" borderId="16" xfId="0" applyBorder="1" applyAlignment="1">
      <alignment/>
    </xf>
    <xf numFmtId="0" fontId="0" fillId="0" borderId="17" xfId="0" applyBorder="1" applyAlignment="1">
      <alignment/>
    </xf>
    <xf numFmtId="0" fontId="6" fillId="0" borderId="70" xfId="0" applyFont="1" applyBorder="1" applyAlignment="1">
      <alignment vertical="top" wrapText="1"/>
    </xf>
    <xf numFmtId="0" fontId="0" fillId="0" borderId="31" xfId="0" applyBorder="1" applyAlignment="1">
      <alignment vertical="top" wrapText="1"/>
    </xf>
    <xf numFmtId="0" fontId="6" fillId="0" borderId="48" xfId="0" applyFont="1" applyBorder="1" applyAlignment="1">
      <alignment/>
    </xf>
    <xf numFmtId="0" fontId="0" fillId="0" borderId="48" xfId="0" applyBorder="1" applyAlignment="1">
      <alignment/>
    </xf>
    <xf numFmtId="0" fontId="0" fillId="0" borderId="75" xfId="0" applyBorder="1" applyAlignment="1">
      <alignment/>
    </xf>
    <xf numFmtId="0" fontId="6" fillId="0" borderId="14" xfId="0" applyFont="1" applyFill="1" applyBorder="1" applyAlignment="1">
      <alignment wrapText="1"/>
    </xf>
    <xf numFmtId="0" fontId="0" fillId="0" borderId="37" xfId="0" applyBorder="1" applyAlignment="1">
      <alignment wrapText="1"/>
    </xf>
    <xf numFmtId="0" fontId="0" fillId="0" borderId="20" xfId="0" applyBorder="1" applyAlignment="1">
      <alignment wrapText="1"/>
    </xf>
    <xf numFmtId="0" fontId="0" fillId="0" borderId="17" xfId="0" applyBorder="1" applyAlignment="1">
      <alignment wrapText="1"/>
    </xf>
    <xf numFmtId="0" fontId="6" fillId="0" borderId="30" xfId="0" applyFont="1" applyBorder="1" applyAlignment="1">
      <alignment/>
    </xf>
    <xf numFmtId="0" fontId="0" fillId="0" borderId="25" xfId="0" applyBorder="1" applyAlignment="1">
      <alignment/>
    </xf>
    <xf numFmtId="0" fontId="6" fillId="0" borderId="56" xfId="0" applyFont="1" applyBorder="1" applyAlignment="1">
      <alignment vertical="top"/>
    </xf>
    <xf numFmtId="0" fontId="6" fillId="33" borderId="20" xfId="0" applyFont="1" applyFill="1" applyBorder="1" applyAlignment="1" applyProtection="1">
      <alignment horizontal="center"/>
      <protection locked="0"/>
    </xf>
    <xf numFmtId="0" fontId="6" fillId="0" borderId="77" xfId="0" applyFont="1" applyBorder="1" applyAlignment="1" applyProtection="1">
      <alignment horizontal="center"/>
      <protection locked="0"/>
    </xf>
    <xf numFmtId="183" fontId="6" fillId="0" borderId="24" xfId="0" applyNumberFormat="1" applyFont="1" applyBorder="1" applyAlignment="1">
      <alignment/>
    </xf>
    <xf numFmtId="0" fontId="6" fillId="33" borderId="36" xfId="0" applyFont="1" applyFill="1" applyBorder="1" applyAlignment="1" applyProtection="1">
      <alignment/>
      <protection locked="0"/>
    </xf>
    <xf numFmtId="0" fontId="5" fillId="0" borderId="38" xfId="0" applyFont="1" applyBorder="1" applyAlignment="1" applyProtection="1">
      <alignment/>
      <protection locked="0"/>
    </xf>
    <xf numFmtId="0" fontId="6" fillId="0" borderId="30"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6" fillId="0" borderId="68" xfId="0" applyFont="1" applyBorder="1" applyAlignment="1">
      <alignment shrinkToFit="1"/>
    </xf>
    <xf numFmtId="0" fontId="0" fillId="0" borderId="38" xfId="0" applyBorder="1" applyAlignment="1">
      <alignment shrinkToFit="1"/>
    </xf>
    <xf numFmtId="0" fontId="0" fillId="0" borderId="69" xfId="0" applyBorder="1" applyAlignment="1">
      <alignment shrinkToFit="1"/>
    </xf>
    <xf numFmtId="0" fontId="0" fillId="33" borderId="12" xfId="0" applyFill="1" applyBorder="1" applyAlignment="1" applyProtection="1">
      <alignment/>
      <protection locked="0"/>
    </xf>
    <xf numFmtId="0" fontId="6" fillId="33" borderId="28" xfId="0" applyFont="1" applyFill="1" applyBorder="1" applyAlignment="1" applyProtection="1">
      <alignment/>
      <protection locked="0"/>
    </xf>
    <xf numFmtId="0" fontId="6" fillId="0" borderId="13" xfId="0" applyFont="1" applyBorder="1" applyAlignment="1" applyProtection="1">
      <alignment/>
      <protection locked="0"/>
    </xf>
    <xf numFmtId="0" fontId="6" fillId="33" borderId="27" xfId="0" applyFont="1" applyFill="1" applyBorder="1" applyAlignment="1" applyProtection="1">
      <alignment/>
      <protection locked="0"/>
    </xf>
    <xf numFmtId="0" fontId="6" fillId="0" borderId="20" xfId="0" applyFont="1" applyBorder="1" applyAlignment="1">
      <alignment horizontal="right"/>
    </xf>
    <xf numFmtId="0" fontId="6" fillId="0" borderId="17" xfId="0" applyFont="1" applyBorder="1" applyAlignment="1">
      <alignment horizontal="right"/>
    </xf>
    <xf numFmtId="0" fontId="0" fillId="0" borderId="13" xfId="0" applyBorder="1" applyAlignment="1">
      <alignment/>
    </xf>
    <xf numFmtId="0" fontId="0" fillId="0" borderId="83" xfId="0" applyBorder="1" applyAlignment="1">
      <alignment/>
    </xf>
    <xf numFmtId="0" fontId="6" fillId="0" borderId="20" xfId="0" applyFont="1" applyBorder="1" applyAlignment="1" applyProtection="1">
      <alignment horizontal="center"/>
      <protection/>
    </xf>
    <xf numFmtId="0" fontId="6" fillId="0" borderId="17" xfId="0" applyFont="1" applyBorder="1" applyAlignment="1">
      <alignment horizontal="center"/>
    </xf>
    <xf numFmtId="0" fontId="6" fillId="0" borderId="22" xfId="0" applyFont="1" applyBorder="1" applyAlignment="1" applyProtection="1">
      <alignment horizontal="center"/>
      <protection/>
    </xf>
    <xf numFmtId="0" fontId="0" fillId="0" borderId="23" xfId="0" applyBorder="1" applyAlignment="1">
      <alignment horizontal="center"/>
    </xf>
    <xf numFmtId="0" fontId="6" fillId="0" borderId="18"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6" fillId="0" borderId="31" xfId="0" applyFont="1" applyBorder="1" applyAlignment="1">
      <alignment/>
    </xf>
    <xf numFmtId="0" fontId="6" fillId="33" borderId="22" xfId="0" applyFont="1" applyFill="1" applyBorder="1" applyAlignment="1" applyProtection="1">
      <alignment horizontal="center"/>
      <protection locked="0"/>
    </xf>
    <xf numFmtId="0" fontId="0" fillId="0" borderId="59" xfId="0" applyBorder="1" applyAlignment="1" applyProtection="1">
      <alignment horizontal="center"/>
      <protection locked="0"/>
    </xf>
    <xf numFmtId="0" fontId="6" fillId="0" borderId="68" xfId="0" applyFont="1" applyBorder="1" applyAlignment="1">
      <alignment/>
    </xf>
    <xf numFmtId="0" fontId="0" fillId="0" borderId="38" xfId="0" applyBorder="1" applyAlignment="1">
      <alignment/>
    </xf>
    <xf numFmtId="0" fontId="0" fillId="0" borderId="69" xfId="0" applyBorder="1" applyAlignment="1">
      <alignment/>
    </xf>
    <xf numFmtId="0" fontId="6" fillId="0" borderId="55" xfId="0" applyFont="1" applyBorder="1" applyAlignment="1">
      <alignment/>
    </xf>
    <xf numFmtId="0" fontId="0" fillId="0" borderId="15" xfId="0" applyBorder="1" applyAlignment="1">
      <alignment/>
    </xf>
    <xf numFmtId="0" fontId="0" fillId="0" borderId="37" xfId="0" applyBorder="1" applyAlignment="1">
      <alignment/>
    </xf>
    <xf numFmtId="0" fontId="6" fillId="0" borderId="20" xfId="0" applyFont="1" applyFill="1" applyBorder="1" applyAlignment="1">
      <alignment/>
    </xf>
    <xf numFmtId="0" fontId="0" fillId="0" borderId="10" xfId="0" applyFill="1" applyBorder="1" applyAlignment="1">
      <alignment/>
    </xf>
    <xf numFmtId="0" fontId="6" fillId="0" borderId="55" xfId="0" applyFont="1" applyBorder="1" applyAlignment="1">
      <alignment vertical="top" wrapText="1" shrinkToFit="1"/>
    </xf>
    <xf numFmtId="0" fontId="5" fillId="0" borderId="15" xfId="0" applyFont="1" applyBorder="1" applyAlignment="1">
      <alignment vertical="top" wrapText="1" shrinkToFit="1"/>
    </xf>
    <xf numFmtId="0" fontId="5" fillId="0" borderId="37" xfId="0" applyFont="1" applyBorder="1" applyAlignment="1">
      <alignment vertical="top" wrapText="1" shrinkToFit="1"/>
    </xf>
    <xf numFmtId="0" fontId="5" fillId="0" borderId="79" xfId="0" applyFont="1" applyBorder="1" applyAlignment="1">
      <alignment vertical="top" wrapText="1"/>
    </xf>
    <xf numFmtId="0" fontId="5" fillId="0" borderId="13" xfId="0" applyFont="1" applyBorder="1" applyAlignment="1">
      <alignment vertical="top" wrapText="1"/>
    </xf>
    <xf numFmtId="0" fontId="5" fillId="0" borderId="83" xfId="0" applyFont="1" applyBorder="1" applyAlignment="1">
      <alignment vertical="top" wrapText="1"/>
    </xf>
    <xf numFmtId="0" fontId="6" fillId="0" borderId="35" xfId="0" applyFont="1" applyFill="1" applyBorder="1" applyAlignment="1">
      <alignment vertical="center" textRotation="255" wrapText="1"/>
    </xf>
    <xf numFmtId="0" fontId="0" fillId="0" borderId="41" xfId="0" applyFill="1" applyBorder="1" applyAlignment="1">
      <alignment vertical="center" textRotation="255" wrapText="1"/>
    </xf>
    <xf numFmtId="0" fontId="0" fillId="0" borderId="34" xfId="0" applyFill="1" applyBorder="1" applyAlignment="1">
      <alignment vertical="center" textRotation="255" wrapText="1"/>
    </xf>
    <xf numFmtId="0" fontId="19" fillId="0" borderId="27" xfId="0" applyFont="1" applyBorder="1" applyAlignment="1">
      <alignment wrapText="1"/>
    </xf>
    <xf numFmtId="0" fontId="5" fillId="0" borderId="27" xfId="0" applyFont="1" applyBorder="1" applyAlignment="1">
      <alignment wrapText="1"/>
    </xf>
    <xf numFmtId="0" fontId="6" fillId="0" borderId="35" xfId="0" applyFont="1" applyBorder="1" applyAlignment="1">
      <alignment vertical="center" textRotation="255" wrapText="1"/>
    </xf>
    <xf numFmtId="0" fontId="0" fillId="0" borderId="41" xfId="0" applyBorder="1" applyAlignment="1">
      <alignment vertical="center" textRotation="255" wrapText="1"/>
    </xf>
    <xf numFmtId="0" fontId="0" fillId="33" borderId="46" xfId="0" applyFill="1" applyBorder="1" applyAlignment="1" applyProtection="1">
      <alignment/>
      <protection locked="0"/>
    </xf>
    <xf numFmtId="0" fontId="0" fillId="33" borderId="47" xfId="0" applyFill="1" applyBorder="1" applyAlignment="1" applyProtection="1">
      <alignment/>
      <protection locked="0"/>
    </xf>
    <xf numFmtId="0" fontId="6" fillId="0" borderId="60" xfId="0" applyFont="1" applyBorder="1" applyAlignment="1">
      <alignment/>
    </xf>
    <xf numFmtId="0" fontId="0" fillId="0" borderId="84" xfId="0" applyBorder="1" applyAlignment="1">
      <alignment/>
    </xf>
    <xf numFmtId="0" fontId="0" fillId="0" borderId="61" xfId="0" applyBorder="1" applyAlignment="1">
      <alignment/>
    </xf>
    <xf numFmtId="0" fontId="6" fillId="0" borderId="71" xfId="0" applyFont="1" applyBorder="1" applyAlignment="1">
      <alignment/>
    </xf>
    <xf numFmtId="0" fontId="0" fillId="0" borderId="71" xfId="0" applyBorder="1" applyAlignment="1">
      <alignment/>
    </xf>
    <xf numFmtId="0" fontId="0" fillId="0" borderId="43" xfId="0" applyBorder="1" applyAlignment="1">
      <alignment/>
    </xf>
    <xf numFmtId="0" fontId="0" fillId="0" borderId="19" xfId="0" applyBorder="1" applyAlignment="1">
      <alignment wrapText="1"/>
    </xf>
    <xf numFmtId="0" fontId="6" fillId="0" borderId="56" xfId="0" applyFont="1" applyFill="1" applyBorder="1" applyAlignment="1">
      <alignment shrinkToFit="1"/>
    </xf>
    <xf numFmtId="0" fontId="6" fillId="0" borderId="0" xfId="0" applyFont="1" applyBorder="1" applyAlignment="1">
      <alignment wrapText="1"/>
    </xf>
    <xf numFmtId="0" fontId="0" fillId="0" borderId="27" xfId="0" applyBorder="1" applyAlignment="1">
      <alignment horizontal="center" vertical="center" wrapText="1"/>
    </xf>
    <xf numFmtId="0" fontId="6" fillId="0" borderId="48" xfId="0" applyFont="1" applyFill="1" applyBorder="1" applyAlignment="1">
      <alignment/>
    </xf>
    <xf numFmtId="0" fontId="6" fillId="0" borderId="49" xfId="0" applyFont="1" applyFill="1" applyBorder="1" applyAlignment="1">
      <alignment/>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15" xfId="0" applyFont="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vertical="top" wrapText="1"/>
    </xf>
    <xf numFmtId="0" fontId="0" fillId="0" borderId="15" xfId="0" applyFill="1" applyBorder="1" applyAlignment="1">
      <alignment vertical="top" wrapText="1"/>
    </xf>
    <xf numFmtId="0" fontId="0" fillId="0" borderId="37"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6" fillId="0" borderId="0" xfId="0" applyFont="1" applyFill="1" applyBorder="1" applyAlignment="1" applyProtection="1">
      <alignment/>
      <protection locked="0"/>
    </xf>
    <xf numFmtId="0" fontId="0" fillId="0" borderId="0" xfId="0" applyFill="1" applyBorder="1" applyAlignment="1">
      <alignment/>
    </xf>
    <xf numFmtId="0" fontId="0" fillId="0" borderId="20" xfId="0" applyFill="1" applyBorder="1" applyAlignment="1">
      <alignment vertical="top" wrapText="1"/>
    </xf>
    <xf numFmtId="0" fontId="0" fillId="0" borderId="10" xfId="0" applyFill="1" applyBorder="1" applyAlignment="1">
      <alignment vertical="top" wrapText="1"/>
    </xf>
    <xf numFmtId="0" fontId="0" fillId="0" borderId="17" xfId="0" applyFill="1" applyBorder="1" applyAlignment="1">
      <alignment vertical="top" wrapText="1"/>
    </xf>
    <xf numFmtId="0" fontId="6" fillId="0" borderId="27" xfId="0" applyFont="1" applyBorder="1" applyAlignment="1">
      <alignment wrapText="1"/>
    </xf>
    <xf numFmtId="0" fontId="6" fillId="0" borderId="27" xfId="0" applyFont="1" applyBorder="1" applyAlignment="1">
      <alignment horizontal="center" vertical="center" textRotation="255"/>
    </xf>
    <xf numFmtId="0" fontId="6" fillId="0" borderId="35" xfId="0" applyFont="1" applyBorder="1" applyAlignment="1">
      <alignment horizontal="center" vertical="center" wrapText="1"/>
    </xf>
    <xf numFmtId="0" fontId="0" fillId="0" borderId="34" xfId="0" applyBorder="1" applyAlignment="1">
      <alignment horizontal="center" vertical="center" wrapText="1"/>
    </xf>
    <xf numFmtId="0" fontId="6" fillId="0" borderId="71" xfId="0" applyFont="1" applyFill="1" applyBorder="1" applyAlignment="1">
      <alignment/>
    </xf>
    <xf numFmtId="0" fontId="6" fillId="0" borderId="36" xfId="0" applyFont="1" applyBorder="1" applyAlignment="1" applyProtection="1">
      <alignment vertical="center" wrapText="1"/>
      <protection locked="0"/>
    </xf>
    <xf numFmtId="0" fontId="0" fillId="0" borderId="38" xfId="0" applyBorder="1" applyAlignment="1">
      <alignment vertical="center" wrapText="1"/>
    </xf>
    <xf numFmtId="0" fontId="0" fillId="0" borderId="69" xfId="0" applyBorder="1" applyAlignment="1">
      <alignment vertical="center" wrapText="1"/>
    </xf>
    <xf numFmtId="0" fontId="6" fillId="0" borderId="32" xfId="0" applyFont="1" applyFill="1" applyBorder="1" applyAlignment="1">
      <alignment vertical="center" wrapText="1"/>
    </xf>
    <xf numFmtId="0" fontId="0" fillId="0" borderId="43" xfId="0" applyFill="1" applyBorder="1" applyAlignment="1">
      <alignment vertical="center" wrapText="1"/>
    </xf>
    <xf numFmtId="0" fontId="0" fillId="0" borderId="33" xfId="0" applyFill="1" applyBorder="1" applyAlignment="1">
      <alignment vertical="center" wrapText="1"/>
    </xf>
    <xf numFmtId="0" fontId="0" fillId="0" borderId="75" xfId="0" applyFill="1" applyBorder="1" applyAlignment="1">
      <alignment vertical="center" wrapText="1"/>
    </xf>
    <xf numFmtId="0" fontId="0" fillId="0" borderId="58" xfId="0" applyFill="1" applyBorder="1" applyAlignment="1">
      <alignment vertical="center" wrapText="1"/>
    </xf>
    <xf numFmtId="0" fontId="0" fillId="0" borderId="45" xfId="0" applyFill="1" applyBorder="1" applyAlignment="1">
      <alignment vertical="center" wrapText="1"/>
    </xf>
    <xf numFmtId="0" fontId="19" fillId="0" borderId="49" xfId="0" applyFont="1" applyBorder="1" applyAlignment="1">
      <alignment horizontal="left"/>
    </xf>
    <xf numFmtId="0" fontId="0" fillId="0" borderId="49" xfId="0" applyBorder="1" applyAlignment="1">
      <alignment horizontal="left"/>
    </xf>
    <xf numFmtId="0" fontId="0" fillId="0" borderId="45" xfId="0" applyBorder="1" applyAlignment="1">
      <alignment horizontal="left"/>
    </xf>
    <xf numFmtId="0" fontId="19" fillId="0" borderId="48" xfId="0" applyFont="1" applyFill="1" applyBorder="1" applyAlignment="1">
      <alignment/>
    </xf>
    <xf numFmtId="0" fontId="6" fillId="0" borderId="32" xfId="0" applyFont="1" applyBorder="1" applyAlignment="1" applyProtection="1">
      <alignment vertical="center" wrapText="1"/>
      <protection locked="0"/>
    </xf>
    <xf numFmtId="0" fontId="0" fillId="0" borderId="43" xfId="0" applyBorder="1" applyAlignment="1">
      <alignment vertical="center" wrapText="1"/>
    </xf>
    <xf numFmtId="0" fontId="0" fillId="0" borderId="33" xfId="0" applyBorder="1" applyAlignment="1">
      <alignment vertical="center" wrapText="1"/>
    </xf>
    <xf numFmtId="0" fontId="0" fillId="0" borderId="75" xfId="0" applyBorder="1" applyAlignment="1">
      <alignment vertical="center" wrapText="1"/>
    </xf>
    <xf numFmtId="0" fontId="0" fillId="0" borderId="58" xfId="0" applyBorder="1" applyAlignment="1">
      <alignment vertical="center" wrapText="1"/>
    </xf>
    <xf numFmtId="0" fontId="0" fillId="0" borderId="45" xfId="0" applyBorder="1" applyAlignment="1">
      <alignment vertical="center" wrapText="1"/>
    </xf>
    <xf numFmtId="0" fontId="6" fillId="0" borderId="18" xfId="0" applyFont="1" applyFill="1" applyBorder="1" applyAlignment="1">
      <alignment horizontal="center"/>
    </xf>
    <xf numFmtId="0" fontId="21" fillId="0" borderId="0" xfId="0" applyFont="1" applyBorder="1" applyAlignment="1">
      <alignment wrapText="1"/>
    </xf>
    <xf numFmtId="0" fontId="6" fillId="33" borderId="14"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29" xfId="0" applyFont="1" applyFill="1" applyBorder="1" applyAlignment="1">
      <alignment shrinkToFit="1"/>
    </xf>
    <xf numFmtId="0" fontId="0" fillId="0" borderId="23" xfId="0" applyBorder="1" applyAlignment="1">
      <alignment shrinkToFit="1"/>
    </xf>
    <xf numFmtId="0" fontId="6" fillId="0" borderId="56" xfId="0" applyFont="1" applyFill="1" applyBorder="1" applyAlignment="1" applyProtection="1">
      <alignment shrinkToFit="1"/>
      <protection/>
    </xf>
    <xf numFmtId="0" fontId="6" fillId="0" borderId="19" xfId="0" applyFont="1" applyBorder="1" applyAlignment="1">
      <alignment/>
    </xf>
    <xf numFmtId="0" fontId="0" fillId="0" borderId="0" xfId="0" applyBorder="1" applyAlignment="1">
      <alignment/>
    </xf>
    <xf numFmtId="0" fontId="6" fillId="0" borderId="24" xfId="0" applyFont="1" applyBorder="1" applyAlignment="1">
      <alignment/>
    </xf>
    <xf numFmtId="0" fontId="6" fillId="0" borderId="71" xfId="0" applyFont="1" applyFill="1" applyBorder="1" applyAlignment="1">
      <alignment horizontal="left"/>
    </xf>
    <xf numFmtId="0" fontId="12" fillId="0" borderId="55" xfId="0" applyFont="1" applyFill="1" applyBorder="1" applyAlignment="1">
      <alignment vertical="top" shrinkToFit="1"/>
    </xf>
    <xf numFmtId="0" fontId="0" fillId="0" borderId="15" xfId="0" applyBorder="1" applyAlignment="1">
      <alignment vertical="top" shrinkToFit="1"/>
    </xf>
    <xf numFmtId="0" fontId="0" fillId="0" borderId="37" xfId="0" applyBorder="1" applyAlignment="1">
      <alignment vertical="top" shrinkToFit="1"/>
    </xf>
    <xf numFmtId="0" fontId="6" fillId="0" borderId="30" xfId="0" applyFont="1" applyFill="1" applyBorder="1" applyAlignment="1" applyProtection="1">
      <alignment shrinkToFit="1"/>
      <protection/>
    </xf>
    <xf numFmtId="0" fontId="19" fillId="0" borderId="48" xfId="0" applyFont="1" applyBorder="1" applyAlignment="1">
      <alignment/>
    </xf>
    <xf numFmtId="0" fontId="19" fillId="0" borderId="71" xfId="0" applyFont="1" applyFill="1" applyBorder="1" applyAlignment="1">
      <alignment/>
    </xf>
    <xf numFmtId="0" fontId="19" fillId="0" borderId="49" xfId="0" applyFont="1" applyFill="1" applyBorder="1" applyAlignment="1">
      <alignment/>
    </xf>
    <xf numFmtId="0" fontId="19" fillId="0" borderId="18" xfId="0" applyFont="1" applyBorder="1" applyAlignment="1">
      <alignment horizontal="center"/>
    </xf>
    <xf numFmtId="0" fontId="0" fillId="0" borderId="48" xfId="0" applyBorder="1" applyAlignment="1">
      <alignment wrapText="1"/>
    </xf>
    <xf numFmtId="0" fontId="6" fillId="0" borderId="50" xfId="0" applyFont="1" applyBorder="1" applyAlignment="1" quotePrefix="1">
      <alignment wrapText="1" shrinkToFit="1"/>
    </xf>
    <xf numFmtId="0" fontId="6" fillId="0" borderId="65" xfId="0" applyFont="1" applyBorder="1" applyAlignment="1">
      <alignment wrapText="1" shrinkToFit="1"/>
    </xf>
    <xf numFmtId="0" fontId="5" fillId="0" borderId="52" xfId="0" applyFont="1" applyBorder="1" applyAlignment="1">
      <alignment wrapText="1"/>
    </xf>
    <xf numFmtId="0" fontId="5" fillId="0" borderId="50" xfId="0" applyFont="1" applyBorder="1" applyAlignment="1">
      <alignment wrapText="1"/>
    </xf>
    <xf numFmtId="0" fontId="6" fillId="0" borderId="48" xfId="0" applyFont="1" applyBorder="1" applyAlignment="1">
      <alignment wrapText="1" shrinkToFit="1"/>
    </xf>
    <xf numFmtId="0" fontId="6" fillId="0" borderId="65" xfId="0" applyFont="1" applyBorder="1" applyAlignment="1">
      <alignment horizontal="right" wrapText="1" shrinkToFit="1"/>
    </xf>
    <xf numFmtId="0" fontId="0" fillId="0" borderId="52" xfId="0" applyBorder="1" applyAlignment="1">
      <alignment wrapText="1"/>
    </xf>
    <xf numFmtId="0" fontId="0" fillId="0" borderId="50" xfId="0" applyBorder="1" applyAlignment="1">
      <alignment wrapText="1"/>
    </xf>
    <xf numFmtId="183" fontId="6" fillId="0" borderId="30" xfId="0" applyNumberFormat="1" applyFont="1" applyFill="1" applyBorder="1" applyAlignment="1" applyProtection="1">
      <alignment horizontal="right"/>
      <protection/>
    </xf>
    <xf numFmtId="0" fontId="0" fillId="0" borderId="44" xfId="0" applyFill="1" applyBorder="1" applyAlignment="1" applyProtection="1">
      <alignment/>
      <protection/>
    </xf>
    <xf numFmtId="0" fontId="0" fillId="0" borderId="15" xfId="0" applyBorder="1" applyAlignment="1">
      <alignment vertical="top" wrapText="1"/>
    </xf>
    <xf numFmtId="0" fontId="6" fillId="0" borderId="74" xfId="0" applyFont="1" applyBorder="1" applyAlignment="1">
      <alignment horizontal="center" vertical="center"/>
    </xf>
    <xf numFmtId="0" fontId="0" fillId="0" borderId="73" xfId="0" applyBorder="1" applyAlignment="1">
      <alignment horizontal="center" vertical="center"/>
    </xf>
    <xf numFmtId="0" fontId="6" fillId="0" borderId="51" xfId="0" applyFont="1" applyBorder="1" applyAlignment="1">
      <alignment wrapText="1"/>
    </xf>
    <xf numFmtId="183" fontId="6" fillId="33" borderId="51" xfId="0" applyNumberFormat="1" applyFont="1" applyFill="1" applyBorder="1" applyAlignment="1" applyProtection="1">
      <alignment vertical="center"/>
      <protection locked="0"/>
    </xf>
    <xf numFmtId="0" fontId="0" fillId="0" borderId="50" xfId="0" applyBorder="1" applyAlignment="1" applyProtection="1">
      <alignment vertical="center"/>
      <protection locked="0"/>
    </xf>
    <xf numFmtId="0" fontId="6" fillId="0" borderId="0" xfId="0" applyFont="1" applyBorder="1" applyAlignment="1" quotePrefix="1">
      <alignment horizontal="right"/>
    </xf>
    <xf numFmtId="0" fontId="0" fillId="0" borderId="0" xfId="0" applyBorder="1" applyAlignment="1">
      <alignment horizontal="right"/>
    </xf>
    <xf numFmtId="0" fontId="6" fillId="0" borderId="0" xfId="0" applyFont="1" applyBorder="1" applyAlignment="1" quotePrefix="1">
      <alignment shrinkToFit="1"/>
    </xf>
    <xf numFmtId="0" fontId="6" fillId="0" borderId="18" xfId="0" applyFont="1" applyBorder="1" applyAlignment="1">
      <alignment vertical="top"/>
    </xf>
    <xf numFmtId="0" fontId="0" fillId="0" borderId="21" xfId="0" applyBorder="1" applyAlignment="1">
      <alignment vertical="top"/>
    </xf>
    <xf numFmtId="0" fontId="6" fillId="0" borderId="78" xfId="0" applyFont="1" applyBorder="1" applyAlignment="1">
      <alignment horizontal="center" wrapText="1"/>
    </xf>
    <xf numFmtId="0" fontId="0" fillId="0" borderId="76" xfId="0" applyBorder="1" applyAlignment="1">
      <alignment wrapText="1"/>
    </xf>
    <xf numFmtId="0" fontId="6" fillId="0" borderId="85" xfId="0" applyFont="1" applyFill="1" applyBorder="1" applyAlignment="1" quotePrefix="1">
      <alignment wrapText="1" shrinkToFit="1"/>
    </xf>
    <xf numFmtId="0" fontId="6" fillId="0" borderId="42" xfId="0" applyFont="1" applyFill="1" applyBorder="1" applyAlignment="1" quotePrefix="1">
      <alignment wrapText="1" shrinkToFit="1"/>
    </xf>
    <xf numFmtId="0" fontId="6" fillId="0" borderId="55" xfId="0" applyFont="1" applyBorder="1" applyAlignment="1">
      <alignment wrapText="1"/>
    </xf>
    <xf numFmtId="0" fontId="0" fillId="0" borderId="78" xfId="0" applyBorder="1" applyAlignment="1">
      <alignment wrapText="1"/>
    </xf>
    <xf numFmtId="0" fontId="6" fillId="0" borderId="70" xfId="0" applyFont="1" applyBorder="1" applyAlignment="1">
      <alignment wrapText="1"/>
    </xf>
    <xf numFmtId="0" fontId="6" fillId="0" borderId="31" xfId="0" applyFont="1" applyBorder="1" applyAlignment="1">
      <alignment wrapText="1"/>
    </xf>
    <xf numFmtId="0" fontId="0" fillId="0" borderId="77" xfId="0" applyBorder="1" applyAlignment="1">
      <alignment wrapText="1"/>
    </xf>
    <xf numFmtId="0" fontId="6" fillId="0" borderId="86" xfId="0" applyFont="1" applyBorder="1" applyAlignment="1">
      <alignment horizontal="center" vertical="center"/>
    </xf>
    <xf numFmtId="0" fontId="0" fillId="0" borderId="87" xfId="0" applyBorder="1" applyAlignment="1">
      <alignment/>
    </xf>
    <xf numFmtId="0" fontId="0" fillId="0" borderId="88" xfId="0" applyBorder="1" applyAlignment="1">
      <alignment/>
    </xf>
    <xf numFmtId="0" fontId="23" fillId="0" borderId="51"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81" xfId="0" applyFont="1" applyBorder="1" applyAlignment="1">
      <alignment horizontal="center" vertical="center" wrapText="1"/>
    </xf>
    <xf numFmtId="0" fontId="23" fillId="0" borderId="40"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27" xfId="0" applyFont="1" applyBorder="1" applyAlignment="1">
      <alignment horizontal="center"/>
    </xf>
    <xf numFmtId="0" fontId="6" fillId="0" borderId="22" xfId="0" applyFont="1" applyBorder="1" applyAlignment="1">
      <alignment shrinkToFit="1"/>
    </xf>
    <xf numFmtId="0" fontId="7" fillId="0" borderId="75" xfId="0" applyFont="1" applyBorder="1" applyAlignment="1">
      <alignment shrinkToFit="1"/>
    </xf>
    <xf numFmtId="0" fontId="6" fillId="0" borderId="54" xfId="0" applyFont="1" applyBorder="1" applyAlignment="1">
      <alignment shrinkToFit="1"/>
    </xf>
    <xf numFmtId="0" fontId="23" fillId="0" borderId="66" xfId="0" applyFont="1" applyBorder="1" applyAlignment="1">
      <alignment horizontal="center" vertical="center" wrapText="1"/>
    </xf>
    <xf numFmtId="0" fontId="23" fillId="0" borderId="42" xfId="0" applyFont="1" applyBorder="1" applyAlignment="1">
      <alignment horizontal="center" vertical="center" wrapText="1"/>
    </xf>
    <xf numFmtId="0" fontId="6" fillId="0" borderId="30" xfId="0" applyFont="1" applyBorder="1" applyAlignment="1">
      <alignment horizontal="center"/>
    </xf>
    <xf numFmtId="0" fontId="6" fillId="0" borderId="44" xfId="0" applyFont="1" applyBorder="1" applyAlignment="1">
      <alignment horizontal="center"/>
    </xf>
    <xf numFmtId="183" fontId="6" fillId="33" borderId="30" xfId="0" applyNumberFormat="1" applyFont="1" applyFill="1" applyBorder="1" applyAlignment="1" applyProtection="1">
      <alignment/>
      <protection locked="0"/>
    </xf>
    <xf numFmtId="0" fontId="0" fillId="0" borderId="44" xfId="0" applyBorder="1" applyAlignment="1" applyProtection="1">
      <alignment/>
      <protection locked="0"/>
    </xf>
    <xf numFmtId="0" fontId="6" fillId="0" borderId="56" xfId="0" applyFont="1" applyBorder="1" applyAlignment="1">
      <alignment shrinkToFit="1"/>
    </xf>
    <xf numFmtId="0" fontId="19" fillId="0" borderId="0" xfId="0" applyFont="1" applyBorder="1" applyAlignment="1">
      <alignment shrinkToFit="1"/>
    </xf>
    <xf numFmtId="0" fontId="12" fillId="0" borderId="0" xfId="0" applyFont="1" applyAlignment="1">
      <alignment shrinkToFit="1"/>
    </xf>
    <xf numFmtId="183" fontId="6" fillId="33" borderId="56" xfId="0" applyNumberFormat="1" applyFont="1" applyFill="1" applyBorder="1" applyAlignment="1" applyProtection="1">
      <alignment/>
      <protection locked="0"/>
    </xf>
    <xf numFmtId="183" fontId="6" fillId="0" borderId="71" xfId="0" applyNumberFormat="1" applyFont="1" applyFill="1" applyBorder="1" applyAlignment="1" applyProtection="1">
      <alignment horizontal="right" vertical="center"/>
      <protection/>
    </xf>
    <xf numFmtId="183" fontId="0" fillId="0" borderId="48" xfId="0" applyNumberFormat="1" applyFill="1" applyBorder="1" applyAlignment="1" applyProtection="1">
      <alignment horizontal="right" vertical="center"/>
      <protection/>
    </xf>
    <xf numFmtId="183" fontId="6" fillId="0" borderId="48" xfId="0" applyNumberFormat="1" applyFont="1" applyFill="1" applyBorder="1" applyAlignment="1" applyProtection="1">
      <alignment horizontal="right" vertical="center"/>
      <protection/>
    </xf>
    <xf numFmtId="0" fontId="0" fillId="0" borderId="48" xfId="0" applyFill="1" applyBorder="1" applyAlignment="1" applyProtection="1">
      <alignment horizontal="right" vertical="center"/>
      <protection/>
    </xf>
    <xf numFmtId="0" fontId="6" fillId="0" borderId="89" xfId="0" applyFont="1" applyBorder="1" applyAlignment="1">
      <alignment/>
    </xf>
    <xf numFmtId="0" fontId="0" fillId="0" borderId="90" xfId="0" applyBorder="1" applyAlignment="1">
      <alignment/>
    </xf>
    <xf numFmtId="0" fontId="0" fillId="0" borderId="91" xfId="0" applyBorder="1" applyAlignment="1">
      <alignment/>
    </xf>
    <xf numFmtId="0" fontId="6" fillId="0" borderId="92" xfId="0" applyFont="1" applyBorder="1" applyAlignment="1">
      <alignment/>
    </xf>
    <xf numFmtId="0" fontId="0" fillId="0" borderId="93" xfId="0" applyBorder="1" applyAlignment="1">
      <alignment/>
    </xf>
    <xf numFmtId="0" fontId="0" fillId="0" borderId="94" xfId="0" applyBorder="1" applyAlignment="1">
      <alignment/>
    </xf>
    <xf numFmtId="0" fontId="6" fillId="0" borderId="46" xfId="0" applyFont="1" applyBorder="1" applyAlignment="1">
      <alignment shrinkToFit="1"/>
    </xf>
    <xf numFmtId="0" fontId="6" fillId="0" borderId="47" xfId="0" applyFont="1" applyBorder="1" applyAlignment="1">
      <alignment shrinkToFit="1"/>
    </xf>
    <xf numFmtId="0" fontId="6" fillId="0" borderId="95" xfId="0" applyFont="1" applyBorder="1" applyAlignment="1">
      <alignment/>
    </xf>
    <xf numFmtId="0" fontId="0" fillId="0" borderId="96" xfId="0" applyBorder="1" applyAlignment="1">
      <alignment/>
    </xf>
    <xf numFmtId="0" fontId="0" fillId="0" borderId="97" xfId="0" applyBorder="1" applyAlignment="1">
      <alignment/>
    </xf>
    <xf numFmtId="0" fontId="0" fillId="0" borderId="0" xfId="0" applyAlignment="1">
      <alignment shrinkToFit="1"/>
    </xf>
    <xf numFmtId="0" fontId="6" fillId="0" borderId="36" xfId="0" applyFont="1" applyBorder="1" applyAlignment="1">
      <alignment/>
    </xf>
    <xf numFmtId="0" fontId="6" fillId="0" borderId="64" xfId="0" applyFont="1" applyBorder="1" applyAlignment="1">
      <alignment horizontal="center" vertical="center"/>
    </xf>
    <xf numFmtId="0" fontId="0" fillId="0" borderId="40" xfId="0" applyBorder="1" applyAlignment="1">
      <alignment horizontal="center" vertical="center"/>
    </xf>
    <xf numFmtId="0" fontId="6" fillId="0" borderId="73" xfId="0" applyFont="1" applyBorder="1" applyAlignment="1">
      <alignment horizontal="center" vertical="center"/>
    </xf>
    <xf numFmtId="183" fontId="6" fillId="33" borderId="65" xfId="0" applyNumberFormat="1" applyFont="1" applyFill="1" applyBorder="1" applyAlignment="1" applyProtection="1">
      <alignment horizontal="right" vertical="center"/>
      <protection locked="0"/>
    </xf>
    <xf numFmtId="0" fontId="0" fillId="0" borderId="53" xfId="0" applyBorder="1" applyAlignment="1" applyProtection="1">
      <alignment vertical="center"/>
      <protection locked="0"/>
    </xf>
    <xf numFmtId="0" fontId="6" fillId="0" borderId="0" xfId="0" applyFont="1" applyAlignment="1">
      <alignment vertical="distributed" wrapText="1"/>
    </xf>
    <xf numFmtId="0" fontId="0" fillId="0" borderId="0" xfId="0" applyAlignment="1">
      <alignment vertical="distributed" wrapText="1"/>
    </xf>
    <xf numFmtId="183" fontId="6" fillId="0" borderId="65" xfId="0" applyNumberFormat="1" applyFont="1" applyBorder="1" applyAlignment="1">
      <alignment/>
    </xf>
    <xf numFmtId="0" fontId="0" fillId="0" borderId="65" xfId="0" applyBorder="1" applyAlignment="1">
      <alignment/>
    </xf>
    <xf numFmtId="183" fontId="6" fillId="0" borderId="56" xfId="0" applyNumberFormat="1" applyFont="1" applyFill="1" applyBorder="1" applyAlignment="1" applyProtection="1">
      <alignment horizontal="right"/>
      <protection/>
    </xf>
    <xf numFmtId="0" fontId="0" fillId="0" borderId="57" xfId="0" applyFill="1" applyBorder="1" applyAlignment="1" applyProtection="1">
      <alignment/>
      <protection/>
    </xf>
    <xf numFmtId="0" fontId="6" fillId="0" borderId="0" xfId="0" applyFont="1" applyBorder="1" applyAlignment="1">
      <alignment vertical="distributed" wrapText="1"/>
    </xf>
    <xf numFmtId="0" fontId="19" fillId="0" borderId="15" xfId="0" applyFont="1" applyBorder="1" applyAlignment="1">
      <alignment shrinkToFit="1"/>
    </xf>
    <xf numFmtId="0" fontId="12" fillId="0" borderId="15" xfId="0" applyFont="1" applyBorder="1" applyAlignment="1">
      <alignment shrinkToFit="1"/>
    </xf>
    <xf numFmtId="183" fontId="6" fillId="0" borderId="50" xfId="0" applyNumberFormat="1" applyFont="1" applyBorder="1" applyAlignment="1">
      <alignment/>
    </xf>
    <xf numFmtId="0" fontId="0" fillId="0" borderId="50" xfId="0" applyBorder="1" applyAlignment="1">
      <alignment/>
    </xf>
    <xf numFmtId="0" fontId="0" fillId="0" borderId="79" xfId="0" applyBorder="1" applyAlignment="1">
      <alignment vertical="center"/>
    </xf>
    <xf numFmtId="0" fontId="0" fillId="0" borderId="80" xfId="0" applyBorder="1" applyAlignment="1">
      <alignment vertical="center"/>
    </xf>
    <xf numFmtId="0" fontId="19" fillId="0" borderId="0" xfId="0" applyFont="1" applyFill="1" applyBorder="1" applyAlignment="1">
      <alignment wrapText="1"/>
    </xf>
    <xf numFmtId="0" fontId="19" fillId="0" borderId="0" xfId="0" applyFont="1" applyBorder="1" applyAlignment="1">
      <alignment wrapText="1"/>
    </xf>
    <xf numFmtId="0" fontId="6" fillId="0" borderId="0" xfId="0" applyFont="1" applyBorder="1" applyAlignment="1">
      <alignment horizontal="left" vertical="top" wrapText="1"/>
    </xf>
    <xf numFmtId="0" fontId="0" fillId="0" borderId="0" xfId="0" applyAlignment="1">
      <alignment horizontal="left" vertical="top" wrapText="1"/>
    </xf>
    <xf numFmtId="0" fontId="0" fillId="0" borderId="70" xfId="0" applyBorder="1" applyAlignment="1">
      <alignment wrapText="1"/>
    </xf>
    <xf numFmtId="0" fontId="0" fillId="0" borderId="31" xfId="0" applyBorder="1" applyAlignment="1">
      <alignment wrapText="1"/>
    </xf>
    <xf numFmtId="183" fontId="6" fillId="0" borderId="29" xfId="0" applyNumberFormat="1" applyFont="1" applyFill="1" applyBorder="1" applyAlignment="1" applyProtection="1">
      <alignment horizontal="right"/>
      <protection/>
    </xf>
    <xf numFmtId="0" fontId="0" fillId="0" borderId="59" xfId="0" applyFill="1" applyBorder="1" applyAlignment="1" applyProtection="1">
      <alignment/>
      <protection/>
    </xf>
    <xf numFmtId="0" fontId="6" fillId="0" borderId="52" xfId="0" applyFont="1" applyBorder="1" applyAlignment="1">
      <alignment wrapText="1"/>
    </xf>
    <xf numFmtId="0" fontId="6" fillId="0" borderId="53" xfId="0" applyFont="1" applyBorder="1" applyAlignment="1">
      <alignment wrapText="1"/>
    </xf>
    <xf numFmtId="0" fontId="6" fillId="0" borderId="0" xfId="0" applyFont="1" applyBorder="1" applyAlignment="1">
      <alignment horizontal="left" wrapText="1"/>
    </xf>
    <xf numFmtId="0" fontId="19" fillId="0" borderId="0" xfId="0" applyFont="1" applyAlignment="1">
      <alignment wrapText="1"/>
    </xf>
    <xf numFmtId="0" fontId="0" fillId="0" borderId="49" xfId="0" applyFill="1" applyBorder="1" applyAlignment="1" applyProtection="1">
      <alignment horizontal="right" vertical="center"/>
      <protection/>
    </xf>
    <xf numFmtId="0" fontId="6" fillId="0" borderId="11" xfId="0" applyFont="1" applyBorder="1" applyAlignment="1">
      <alignment shrinkToFit="1"/>
    </xf>
    <xf numFmtId="183" fontId="6" fillId="33" borderId="29" xfId="0" applyNumberFormat="1" applyFont="1" applyFill="1" applyBorder="1" applyAlignment="1" applyProtection="1">
      <alignment/>
      <protection locked="0"/>
    </xf>
    <xf numFmtId="0" fontId="0" fillId="0" borderId="59" xfId="0" applyBorder="1" applyAlignment="1" applyProtection="1">
      <alignment/>
      <protection locked="0"/>
    </xf>
    <xf numFmtId="0" fontId="6" fillId="0" borderId="15" xfId="0" applyFont="1" applyBorder="1" applyAlignment="1">
      <alignment wrapText="1"/>
    </xf>
    <xf numFmtId="0" fontId="0" fillId="0" borderId="15" xfId="0" applyBorder="1" applyAlignment="1">
      <alignment wrapText="1"/>
    </xf>
    <xf numFmtId="0" fontId="6" fillId="0" borderId="27" xfId="0" applyFont="1" applyBorder="1" applyAlignment="1">
      <alignment vertical="center"/>
    </xf>
    <xf numFmtId="0" fontId="0" fillId="0" borderId="27" xfId="0" applyBorder="1" applyAlignment="1">
      <alignment/>
    </xf>
    <xf numFmtId="0" fontId="0" fillId="0" borderId="11" xfId="0" applyBorder="1" applyAlignment="1" applyProtection="1">
      <alignment horizontal="center"/>
      <protection locked="0"/>
    </xf>
    <xf numFmtId="0" fontId="0" fillId="0" borderId="21" xfId="0" applyBorder="1" applyAlignment="1" applyProtection="1">
      <alignment horizontal="center"/>
      <protection locked="0"/>
    </xf>
    <xf numFmtId="197" fontId="0" fillId="0" borderId="0" xfId="0" applyNumberFormat="1" applyBorder="1" applyAlignment="1">
      <alignment horizontal="right" vertical="center"/>
    </xf>
    <xf numFmtId="197" fontId="0" fillId="0" borderId="0" xfId="0" applyNumberFormat="1" applyAlignment="1">
      <alignment/>
    </xf>
    <xf numFmtId="0" fontId="6" fillId="0" borderId="0" xfId="0" applyFont="1" applyBorder="1" applyAlignment="1">
      <alignment horizontal="left" vertical="center" shrinkToFit="1"/>
    </xf>
    <xf numFmtId="0" fontId="0" fillId="0" borderId="0" xfId="0" applyAlignment="1">
      <alignment vertical="center" shrinkToFit="1"/>
    </xf>
    <xf numFmtId="0" fontId="6" fillId="0" borderId="27" xfId="0" applyFont="1" applyBorder="1" applyAlignment="1">
      <alignment/>
    </xf>
    <xf numFmtId="0" fontId="0" fillId="0" borderId="18" xfId="0" applyBorder="1" applyAlignment="1">
      <alignment/>
    </xf>
    <xf numFmtId="183" fontId="6" fillId="0" borderId="40" xfId="0" applyNumberFormat="1" applyFont="1" applyFill="1" applyBorder="1" applyAlignment="1" applyProtection="1">
      <alignment horizontal="center"/>
      <protection/>
    </xf>
    <xf numFmtId="0" fontId="0" fillId="0" borderId="53" xfId="0" applyFill="1" applyBorder="1" applyAlignment="1" applyProtection="1">
      <alignment/>
      <protection/>
    </xf>
    <xf numFmtId="0" fontId="0" fillId="0" borderId="42" xfId="0" applyFill="1" applyBorder="1" applyAlignment="1" applyProtection="1">
      <alignment/>
      <protection/>
    </xf>
    <xf numFmtId="183" fontId="6" fillId="33" borderId="40" xfId="0" applyNumberFormat="1" applyFont="1" applyFill="1" applyBorder="1" applyAlignment="1" applyProtection="1">
      <alignment horizontal="center"/>
      <protection locked="0"/>
    </xf>
    <xf numFmtId="0" fontId="0" fillId="33" borderId="53" xfId="0" applyFill="1" applyBorder="1" applyAlignment="1" applyProtection="1">
      <alignment/>
      <protection locked="0"/>
    </xf>
    <xf numFmtId="0" fontId="0" fillId="33" borderId="31" xfId="0" applyFill="1" applyBorder="1" applyAlignment="1" applyProtection="1">
      <alignment/>
      <protection locked="0"/>
    </xf>
    <xf numFmtId="183" fontId="6" fillId="0" borderId="73" xfId="0" applyNumberFormat="1" applyFont="1" applyBorder="1" applyAlignment="1">
      <alignment horizontal="center" vertical="center"/>
    </xf>
    <xf numFmtId="0" fontId="0" fillId="0" borderId="98"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6" fillId="0" borderId="50" xfId="0" applyFont="1" applyBorder="1" applyAlignment="1">
      <alignment/>
    </xf>
    <xf numFmtId="0" fontId="6" fillId="0" borderId="27" xfId="0" applyFont="1" applyBorder="1" applyAlignment="1">
      <alignment horizontal="left"/>
    </xf>
    <xf numFmtId="0" fontId="12" fillId="0" borderId="74" xfId="0" applyFont="1" applyBorder="1" applyAlignment="1" applyProtection="1">
      <alignment/>
      <protection/>
    </xf>
    <xf numFmtId="0" fontId="0" fillId="0" borderId="40" xfId="0" applyBorder="1" applyAlignment="1">
      <alignment/>
    </xf>
    <xf numFmtId="0" fontId="6" fillId="0" borderId="55" xfId="0" applyFont="1" applyBorder="1" applyAlignment="1" applyProtection="1">
      <alignment wrapText="1"/>
      <protection/>
    </xf>
    <xf numFmtId="0" fontId="0" fillId="0" borderId="78" xfId="0" applyBorder="1" applyAlignment="1" applyProtection="1">
      <alignment wrapText="1"/>
      <protection/>
    </xf>
    <xf numFmtId="0" fontId="0" fillId="0" borderId="70" xfId="0" applyBorder="1" applyAlignment="1" applyProtection="1">
      <alignment wrapText="1"/>
      <protection/>
    </xf>
    <xf numFmtId="0" fontId="0" fillId="0" borderId="76" xfId="0" applyBorder="1" applyAlignment="1" applyProtection="1">
      <alignment wrapText="1"/>
      <protection/>
    </xf>
    <xf numFmtId="0" fontId="0" fillId="0" borderId="31" xfId="0" applyBorder="1" applyAlignment="1" applyProtection="1">
      <alignment wrapText="1"/>
      <protection/>
    </xf>
    <xf numFmtId="0" fontId="0" fillId="0" borderId="77" xfId="0" applyBorder="1" applyAlignment="1" applyProtection="1">
      <alignment wrapText="1"/>
      <protection/>
    </xf>
    <xf numFmtId="0" fontId="6" fillId="0" borderId="51" xfId="0" applyFont="1" applyBorder="1" applyAlignment="1" applyProtection="1">
      <alignment wrapText="1"/>
      <protection/>
    </xf>
    <xf numFmtId="0" fontId="6" fillId="0" borderId="52" xfId="0" applyFont="1" applyBorder="1" applyAlignment="1" applyProtection="1">
      <alignment wrapText="1"/>
      <protection/>
    </xf>
    <xf numFmtId="0" fontId="6" fillId="0" borderId="53" xfId="0" applyFont="1" applyBorder="1" applyAlignment="1" applyProtection="1">
      <alignment wrapText="1"/>
      <protection/>
    </xf>
    <xf numFmtId="0" fontId="6" fillId="0" borderId="10" xfId="0" applyFont="1" applyBorder="1" applyAlignment="1">
      <alignment shrinkToFit="1"/>
    </xf>
    <xf numFmtId="0" fontId="0" fillId="0" borderId="10" xfId="0" applyBorder="1" applyAlignment="1">
      <alignment shrinkToFit="1"/>
    </xf>
    <xf numFmtId="0" fontId="6" fillId="0" borderId="43" xfId="0" applyFont="1" applyBorder="1" applyAlignment="1">
      <alignment/>
    </xf>
    <xf numFmtId="0" fontId="6" fillId="0" borderId="63" xfId="0" applyFont="1" applyBorder="1" applyAlignment="1">
      <alignment/>
    </xf>
    <xf numFmtId="0" fontId="6" fillId="0" borderId="45" xfId="0" applyFont="1" applyBorder="1" applyAlignment="1">
      <alignment/>
    </xf>
    <xf numFmtId="0" fontId="6" fillId="0" borderId="67" xfId="0" applyFont="1" applyBorder="1" applyAlignment="1">
      <alignment/>
    </xf>
    <xf numFmtId="0" fontId="6" fillId="0" borderId="99" xfId="0" applyFont="1" applyBorder="1" applyAlignment="1">
      <alignment/>
    </xf>
    <xf numFmtId="0" fontId="6" fillId="0" borderId="100" xfId="0" applyFont="1" applyBorder="1" applyAlignment="1">
      <alignment/>
    </xf>
    <xf numFmtId="0" fontId="6" fillId="0" borderId="18"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21" xfId="0" applyFill="1" applyBorder="1" applyAlignment="1" applyProtection="1">
      <alignment horizontal="center"/>
      <protection/>
    </xf>
    <xf numFmtId="0" fontId="6" fillId="0" borderId="101" xfId="0" applyFont="1" applyBorder="1" applyAlignment="1">
      <alignment/>
    </xf>
    <xf numFmtId="0" fontId="6" fillId="0" borderId="66" xfId="0" applyFont="1" applyBorder="1" applyAlignment="1">
      <alignment/>
    </xf>
    <xf numFmtId="0" fontId="6" fillId="0" borderId="35" xfId="0" applyFont="1" applyBorder="1" applyAlignment="1">
      <alignment/>
    </xf>
    <xf numFmtId="0" fontId="19" fillId="0" borderId="0" xfId="0" applyFont="1" applyFill="1" applyBorder="1" applyAlignment="1" applyProtection="1">
      <alignment vertical="center" shrinkToFit="1"/>
      <protection/>
    </xf>
    <xf numFmtId="0" fontId="12" fillId="0" borderId="0" xfId="0" applyFont="1" applyBorder="1" applyAlignment="1" applyProtection="1">
      <alignment vertical="center" shrinkToFit="1"/>
      <protection/>
    </xf>
    <xf numFmtId="0" fontId="19" fillId="0" borderId="0" xfId="0" applyFont="1" applyFill="1" applyBorder="1" applyAlignment="1" applyProtection="1">
      <alignment vertical="center" wrapText="1"/>
      <protection/>
    </xf>
    <xf numFmtId="0" fontId="12" fillId="0" borderId="0" xfId="0" applyFont="1" applyAlignment="1" applyProtection="1">
      <alignment vertical="center" wrapText="1"/>
      <protection/>
    </xf>
    <xf numFmtId="0" fontId="6" fillId="0" borderId="42" xfId="0" applyFont="1" applyBorder="1" applyAlignment="1">
      <alignment/>
    </xf>
    <xf numFmtId="0" fontId="6" fillId="0" borderId="34" xfId="0" applyFont="1" applyBorder="1" applyAlignment="1">
      <alignment/>
    </xf>
    <xf numFmtId="0" fontId="6" fillId="0" borderId="14" xfId="0" applyFont="1" applyFill="1" applyBorder="1" applyAlignment="1">
      <alignment horizontal="center"/>
    </xf>
    <xf numFmtId="0" fontId="0" fillId="0" borderId="15" xfId="0" applyBorder="1" applyAlignment="1">
      <alignment horizontal="center"/>
    </xf>
    <xf numFmtId="0" fontId="6" fillId="0" borderId="85" xfId="0" applyFont="1" applyFill="1" applyBorder="1" applyAlignment="1" applyProtection="1" quotePrefix="1">
      <alignment wrapText="1" shrinkToFit="1"/>
      <protection/>
    </xf>
    <xf numFmtId="0" fontId="6" fillId="0" borderId="42" xfId="0" applyFont="1" applyFill="1" applyBorder="1" applyAlignment="1" applyProtection="1" quotePrefix="1">
      <alignment wrapText="1" shrinkToFit="1"/>
      <protection/>
    </xf>
    <xf numFmtId="0" fontId="6" fillId="0" borderId="51" xfId="0" applyFont="1" applyBorder="1" applyAlignment="1" applyProtection="1">
      <alignment horizontal="center"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6" fillId="0" borderId="70" xfId="0" applyFont="1" applyBorder="1" applyAlignment="1" applyProtection="1">
      <alignment wrapText="1"/>
      <protection/>
    </xf>
    <xf numFmtId="0" fontId="6" fillId="0" borderId="31" xfId="0" applyFont="1" applyBorder="1" applyAlignment="1" applyProtection="1">
      <alignment wrapText="1"/>
      <protection/>
    </xf>
    <xf numFmtId="0" fontId="6" fillId="0" borderId="72" xfId="0" applyFont="1" applyBorder="1" applyAlignment="1">
      <alignment/>
    </xf>
    <xf numFmtId="185" fontId="6" fillId="33" borderId="27" xfId="0" applyNumberFormat="1" applyFont="1" applyFill="1" applyBorder="1" applyAlignment="1" applyProtection="1">
      <alignment horizontal="center"/>
      <protection locked="0"/>
    </xf>
    <xf numFmtId="0" fontId="6" fillId="33" borderId="27" xfId="0" applyFont="1" applyFill="1" applyBorder="1" applyAlignment="1" applyProtection="1">
      <alignment horizontal="center"/>
      <protection locked="0"/>
    </xf>
    <xf numFmtId="49" fontId="6" fillId="0" borderId="0" xfId="0" applyNumberFormat="1" applyFont="1" applyFill="1" applyBorder="1" applyAlignment="1" applyProtection="1">
      <alignment horizontal="left"/>
      <protection/>
    </xf>
    <xf numFmtId="0" fontId="0" fillId="0" borderId="0" xfId="0" applyAlignment="1">
      <alignment horizontal="left"/>
    </xf>
    <xf numFmtId="177" fontId="6" fillId="0" borderId="27" xfId="0" applyNumberFormat="1" applyFont="1" applyBorder="1" applyAlignment="1">
      <alignment horizontal="center"/>
    </xf>
    <xf numFmtId="0" fontId="6" fillId="33" borderId="30" xfId="0" applyFont="1" applyFill="1" applyBorder="1" applyAlignment="1" applyProtection="1">
      <alignment/>
      <protection locked="0"/>
    </xf>
    <xf numFmtId="0" fontId="6" fillId="0" borderId="0" xfId="0" applyFont="1" applyBorder="1" applyAlignment="1">
      <alignment/>
    </xf>
    <xf numFmtId="0" fontId="0" fillId="0" borderId="0" xfId="0" applyAlignment="1">
      <alignment/>
    </xf>
    <xf numFmtId="0" fontId="19" fillId="33" borderId="18" xfId="0" applyFont="1" applyFill="1" applyBorder="1" applyAlignment="1" applyProtection="1">
      <alignment horizontal="center"/>
      <protection locked="0"/>
    </xf>
    <xf numFmtId="0" fontId="19" fillId="33" borderId="11" xfId="0" applyFont="1" applyFill="1" applyBorder="1" applyAlignment="1" applyProtection="1">
      <alignment horizontal="center"/>
      <protection locked="0"/>
    </xf>
    <xf numFmtId="0" fontId="19" fillId="33" borderId="21" xfId="0" applyFont="1" applyFill="1" applyBorder="1" applyAlignment="1" applyProtection="1">
      <alignment horizontal="center"/>
      <protection locked="0"/>
    </xf>
    <xf numFmtId="0" fontId="11" fillId="33"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6" fillId="33" borderId="0" xfId="0" applyFont="1" applyFill="1" applyBorder="1" applyAlignment="1" applyProtection="1">
      <alignment shrinkToFit="1"/>
      <protection locked="0"/>
    </xf>
    <xf numFmtId="0" fontId="0" fillId="0" borderId="0" xfId="0" applyAlignment="1" applyProtection="1">
      <alignment shrinkToFit="1"/>
      <protection locked="0"/>
    </xf>
    <xf numFmtId="0" fontId="6" fillId="0" borderId="0" xfId="0" applyFont="1" applyBorder="1" applyAlignment="1">
      <alignment horizontal="center"/>
    </xf>
    <xf numFmtId="3" fontId="26" fillId="0" borderId="10" xfId="0" applyNumberFormat="1" applyFont="1" applyBorder="1" applyAlignment="1">
      <alignment horizontal="center" vertical="center"/>
    </xf>
    <xf numFmtId="0" fontId="26" fillId="0" borderId="10" xfId="0" applyFont="1" applyBorder="1" applyAlignment="1">
      <alignment horizontal="center" vertical="center"/>
    </xf>
    <xf numFmtId="0" fontId="6" fillId="0" borderId="44" xfId="0" applyFont="1" applyBorder="1" applyAlignment="1">
      <alignment horizontal="center" vertical="center" wrapText="1"/>
    </xf>
    <xf numFmtId="0" fontId="0" fillId="0" borderId="48" xfId="0" applyBorder="1" applyAlignment="1">
      <alignment horizontal="center" vertical="center" wrapText="1"/>
    </xf>
    <xf numFmtId="0" fontId="0" fillId="0" borderId="44" xfId="0" applyBorder="1" applyAlignment="1">
      <alignment horizontal="center" vertical="center" wrapText="1"/>
    </xf>
    <xf numFmtId="0" fontId="6" fillId="0" borderId="0" xfId="0" applyFont="1" applyBorder="1" applyAlignment="1">
      <alignment horizontal="left"/>
    </xf>
    <xf numFmtId="193" fontId="6" fillId="0" borderId="44" xfId="0" applyNumberFormat="1" applyFont="1" applyBorder="1" applyAlignment="1">
      <alignment horizontal="center" vertical="center"/>
    </xf>
    <xf numFmtId="193" fontId="0" fillId="0" borderId="30" xfId="0" applyNumberFormat="1" applyBorder="1" applyAlignment="1">
      <alignment horizontal="center" vertical="center"/>
    </xf>
    <xf numFmtId="183" fontId="6" fillId="0" borderId="44" xfId="0" applyNumberFormat="1" applyFont="1"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6" fillId="0" borderId="38" xfId="0" applyFont="1" applyBorder="1" applyAlignment="1">
      <alignment horizontal="center" wrapText="1"/>
    </xf>
    <xf numFmtId="0" fontId="0" fillId="0" borderId="38" xfId="0" applyBorder="1" applyAlignment="1">
      <alignment horizontal="center" wrapText="1"/>
    </xf>
    <xf numFmtId="0" fontId="0" fillId="0" borderId="13" xfId="0" applyBorder="1" applyAlignment="1">
      <alignment horizontal="center" wrapText="1"/>
    </xf>
    <xf numFmtId="0" fontId="6" fillId="0" borderId="38" xfId="0" applyFont="1" applyBorder="1" applyAlignment="1" quotePrefix="1">
      <alignment vertical="center"/>
    </xf>
    <xf numFmtId="0" fontId="0" fillId="0" borderId="13" xfId="0"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6" fillId="0" borderId="44" xfId="0" applyNumberFormat="1" applyFont="1" applyFill="1" applyBorder="1" applyAlignment="1" applyProtection="1">
      <alignment horizontal="center" vertical="center"/>
      <protection/>
    </xf>
    <xf numFmtId="0" fontId="0" fillId="0" borderId="48" xfId="0" applyNumberFormat="1" applyFill="1" applyBorder="1" applyAlignment="1" applyProtection="1">
      <alignment horizontal="center" vertical="center"/>
      <protection/>
    </xf>
    <xf numFmtId="195" fontId="6" fillId="0" borderId="30" xfId="0" applyNumberFormat="1" applyFont="1" applyBorder="1" applyAlignment="1">
      <alignment horizontal="right" vertical="center"/>
    </xf>
    <xf numFmtId="195" fontId="0" fillId="0" borderId="25" xfId="0" applyNumberFormat="1" applyBorder="1" applyAlignment="1">
      <alignment horizontal="right" vertical="center"/>
    </xf>
    <xf numFmtId="183" fontId="6" fillId="0" borderId="25" xfId="0" applyNumberFormat="1"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6" fillId="0" borderId="44" xfId="0" applyFont="1" applyBorder="1" applyAlignment="1">
      <alignment/>
    </xf>
    <xf numFmtId="0" fontId="6" fillId="0" borderId="0" xfId="0" applyFont="1" applyAlignment="1">
      <alignment wrapText="1"/>
    </xf>
    <xf numFmtId="0" fontId="0" fillId="0" borderId="0" xfId="0" applyAlignment="1">
      <alignment horizontal="center"/>
    </xf>
    <xf numFmtId="0" fontId="6" fillId="0" borderId="0" xfId="0" applyFont="1" applyBorder="1" applyAlignment="1">
      <alignment vertical="top" shrinkToFit="1"/>
    </xf>
    <xf numFmtId="0" fontId="0" fillId="0" borderId="0" xfId="0" applyBorder="1" applyAlignment="1">
      <alignment vertical="top" shrinkToFit="1"/>
    </xf>
    <xf numFmtId="195" fontId="6" fillId="0" borderId="48" xfId="0" applyNumberFormat="1" applyFont="1" applyBorder="1" applyAlignment="1">
      <alignment vertical="center"/>
    </xf>
    <xf numFmtId="195" fontId="0" fillId="0" borderId="30" xfId="0" applyNumberFormat="1" applyBorder="1" applyAlignment="1">
      <alignment vertical="center"/>
    </xf>
    <xf numFmtId="195" fontId="6" fillId="0" borderId="30" xfId="0" applyNumberFormat="1" applyFont="1" applyBorder="1" applyAlignment="1">
      <alignment horizontal="right" vertical="center" shrinkToFit="1"/>
    </xf>
    <xf numFmtId="0" fontId="0" fillId="0" borderId="25" xfId="0" applyBorder="1" applyAlignment="1">
      <alignment horizontal="right" vertical="center" shrinkToFit="1"/>
    </xf>
    <xf numFmtId="0" fontId="6" fillId="0" borderId="38" xfId="0" applyFont="1" applyBorder="1" applyAlignment="1">
      <alignment horizontal="center"/>
    </xf>
    <xf numFmtId="0" fontId="0" fillId="0" borderId="38" xfId="0" applyBorder="1" applyAlignment="1">
      <alignment horizontal="center"/>
    </xf>
    <xf numFmtId="14" fontId="6" fillId="0" borderId="10" xfId="0" applyNumberFormat="1" applyFont="1" applyBorder="1" applyAlignment="1">
      <alignment horizontal="center" vertical="center" shrinkToFit="1"/>
    </xf>
    <xf numFmtId="0" fontId="19" fillId="0" borderId="18" xfId="0" applyFont="1" applyFill="1" applyBorder="1" applyAlignment="1" applyProtection="1">
      <alignment horizontal="center"/>
      <protection locked="0"/>
    </xf>
    <xf numFmtId="0" fontId="19" fillId="0" borderId="11"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1" fillId="0" borderId="0" xfId="0" applyFont="1" applyBorder="1" applyAlignment="1">
      <alignment horizontal="left" vertical="center" shrinkToFit="1"/>
    </xf>
    <xf numFmtId="0" fontId="6"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6" fillId="0" borderId="68" xfId="0" applyFont="1" applyBorder="1" applyAlignment="1">
      <alignment horizontal="center" vertical="center" wrapText="1"/>
    </xf>
    <xf numFmtId="0" fontId="0" fillId="0" borderId="79" xfId="0" applyBorder="1" applyAlignment="1">
      <alignment horizontal="center" vertical="center" wrapText="1"/>
    </xf>
    <xf numFmtId="0" fontId="6" fillId="0" borderId="0" xfId="0" applyFont="1" applyBorder="1" applyAlignment="1">
      <alignment horizontal="center" vertical="center"/>
    </xf>
    <xf numFmtId="0" fontId="6" fillId="0" borderId="13" xfId="0" applyFont="1" applyBorder="1" applyAlignment="1">
      <alignment horizontal="center" shrinkToFit="1"/>
    </xf>
    <xf numFmtId="0" fontId="0" fillId="0" borderId="13" xfId="0" applyBorder="1" applyAlignment="1">
      <alignment horizontal="center" shrinkToFit="1"/>
    </xf>
    <xf numFmtId="0" fontId="6" fillId="0" borderId="10" xfId="0" applyFont="1" applyBorder="1" applyAlignment="1">
      <alignment horizontal="center" shrinkToFit="1"/>
    </xf>
    <xf numFmtId="0" fontId="0" fillId="0" borderId="10" xfId="0" applyBorder="1" applyAlignment="1">
      <alignment horizontal="center" shrinkToFit="1"/>
    </xf>
    <xf numFmtId="0" fontId="6" fillId="0" borderId="0" xfId="0" applyFont="1" applyBorder="1" applyAlignment="1">
      <alignment horizontal="center" shrinkToFit="1"/>
    </xf>
    <xf numFmtId="0" fontId="0" fillId="0" borderId="0" xfId="0" applyBorder="1" applyAlignment="1">
      <alignment horizontal="center" shrinkToFit="1"/>
    </xf>
    <xf numFmtId="183" fontId="6" fillId="0" borderId="65" xfId="0" applyNumberFormat="1" applyFont="1" applyFill="1" applyBorder="1" applyAlignment="1" applyProtection="1">
      <alignment horizontal="right" vertical="center"/>
      <protection/>
    </xf>
    <xf numFmtId="0" fontId="0" fillId="0" borderId="53" xfId="0" applyFill="1" applyBorder="1" applyAlignment="1" applyProtection="1">
      <alignment vertical="center"/>
      <protection/>
    </xf>
    <xf numFmtId="0" fontId="0" fillId="0" borderId="50" xfId="0" applyFill="1" applyBorder="1" applyAlignment="1" applyProtection="1">
      <alignment vertical="center"/>
      <protection/>
    </xf>
    <xf numFmtId="183" fontId="6" fillId="0" borderId="51" xfId="0" applyNumberFormat="1" applyFont="1" applyFill="1" applyBorder="1" applyAlignment="1" applyProtection="1">
      <alignment vertical="center"/>
      <protection/>
    </xf>
    <xf numFmtId="0" fontId="6" fillId="0" borderId="31" xfId="0" applyFont="1" applyBorder="1" applyAlignment="1" applyProtection="1">
      <alignment/>
      <protection/>
    </xf>
    <xf numFmtId="0" fontId="0" fillId="0" borderId="10" xfId="0" applyBorder="1" applyAlignment="1" applyProtection="1">
      <alignment/>
      <protection/>
    </xf>
    <xf numFmtId="0" fontId="0" fillId="0" borderId="17" xfId="0" applyBorder="1" applyAlignment="1" applyProtection="1">
      <alignment/>
      <protection/>
    </xf>
    <xf numFmtId="0" fontId="6" fillId="0" borderId="18" xfId="0" applyFont="1" applyBorder="1" applyAlignment="1">
      <alignment shrinkToFit="1"/>
    </xf>
    <xf numFmtId="0" fontId="6" fillId="0" borderId="18" xfId="0" applyFont="1" applyBorder="1" applyAlignment="1">
      <alignment/>
    </xf>
    <xf numFmtId="0" fontId="0" fillId="0" borderId="102" xfId="0" applyBorder="1" applyAlignment="1">
      <alignment/>
    </xf>
    <xf numFmtId="0" fontId="6" fillId="0" borderId="15" xfId="0" applyFont="1" applyBorder="1" applyAlignment="1">
      <alignment/>
    </xf>
    <xf numFmtId="183" fontId="6" fillId="33" borderId="19" xfId="0" applyNumberFormat="1" applyFont="1" applyFill="1" applyBorder="1" applyAlignment="1" applyProtection="1">
      <alignment shrinkToFit="1"/>
      <protection locked="0"/>
    </xf>
    <xf numFmtId="0" fontId="0" fillId="0" borderId="16" xfId="0" applyBorder="1" applyAlignment="1" applyProtection="1">
      <alignment shrinkToFit="1"/>
      <protection locked="0"/>
    </xf>
    <xf numFmtId="183" fontId="6" fillId="33" borderId="20" xfId="0" applyNumberFormat="1" applyFont="1" applyFill="1" applyBorder="1" applyAlignment="1" applyProtection="1">
      <alignment shrinkToFit="1"/>
      <protection locked="0"/>
    </xf>
    <xf numFmtId="0" fontId="0" fillId="0" borderId="10" xfId="0" applyBorder="1" applyAlignment="1" applyProtection="1">
      <alignment shrinkToFit="1"/>
      <protection locked="0"/>
    </xf>
    <xf numFmtId="0" fontId="0" fillId="0" borderId="17" xfId="0" applyBorder="1" applyAlignment="1" applyProtection="1">
      <alignment shrinkToFit="1"/>
      <protection locked="0"/>
    </xf>
    <xf numFmtId="0" fontId="6" fillId="0" borderId="14"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183" fontId="6" fillId="33" borderId="14" xfId="0" applyNumberFormat="1" applyFont="1" applyFill="1" applyBorder="1" applyAlignment="1" applyProtection="1">
      <alignment shrinkToFit="1"/>
      <protection locked="0"/>
    </xf>
    <xf numFmtId="0" fontId="0" fillId="0" borderId="15" xfId="0" applyBorder="1" applyAlignment="1" applyProtection="1">
      <alignment shrinkToFit="1"/>
      <protection locked="0"/>
    </xf>
    <xf numFmtId="0" fontId="0" fillId="0" borderId="37" xfId="0" applyBorder="1" applyAlignment="1" applyProtection="1">
      <alignment shrinkToFit="1"/>
      <protection locked="0"/>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tabSelected="1" zoomScalePageLayoutView="0" workbookViewId="0" topLeftCell="A1">
      <selection activeCell="I19" sqref="I19"/>
    </sheetView>
  </sheetViews>
  <sheetFormatPr defaultColWidth="5.77734375" defaultRowHeight="15" customHeight="1"/>
  <cols>
    <col min="1" max="16384" width="5.77734375" style="3" customWidth="1"/>
  </cols>
  <sheetData>
    <row r="1" spans="13:15" ht="15" customHeight="1">
      <c r="M1" s="76"/>
      <c r="N1" s="94"/>
      <c r="O1" s="83"/>
    </row>
    <row r="3" ht="15" customHeight="1">
      <c r="F3" s="3" t="s">
        <v>298</v>
      </c>
    </row>
    <row r="5" spans="5:12" ht="15" customHeight="1">
      <c r="E5" s="427" t="s">
        <v>97</v>
      </c>
      <c r="F5" s="428"/>
      <c r="G5" s="428"/>
      <c r="H5" s="429"/>
      <c r="I5" s="430"/>
      <c r="J5" s="431"/>
      <c r="K5" s="431"/>
      <c r="L5" s="432"/>
    </row>
    <row r="6" spans="1:12" ht="15" customHeight="1">
      <c r="A6" s="82"/>
      <c r="B6" s="80"/>
      <c r="C6" s="80"/>
      <c r="D6" s="80"/>
      <c r="E6" s="80"/>
      <c r="H6" s="107"/>
      <c r="I6" s="107"/>
      <c r="J6" s="107"/>
      <c r="K6" s="107"/>
      <c r="L6" s="107"/>
    </row>
    <row r="7" spans="3:12" ht="15" customHeight="1">
      <c r="C7" s="3" t="s">
        <v>111</v>
      </c>
      <c r="F7" s="35" t="s">
        <v>733</v>
      </c>
      <c r="G7" s="35"/>
      <c r="H7" s="3" t="s">
        <v>51</v>
      </c>
      <c r="I7" s="35"/>
      <c r="J7" s="3" t="s">
        <v>52</v>
      </c>
      <c r="K7" s="35"/>
      <c r="L7" s="3" t="s">
        <v>53</v>
      </c>
    </row>
    <row r="8" spans="4:7" ht="15" customHeight="1">
      <c r="D8" s="1"/>
      <c r="F8" s="1"/>
      <c r="G8" s="2"/>
    </row>
    <row r="13" ht="30" customHeight="1">
      <c r="C13" s="101" t="s">
        <v>76</v>
      </c>
    </row>
    <row r="22" spans="3:16" ht="19.5" customHeight="1">
      <c r="C22" s="3" t="s">
        <v>297</v>
      </c>
      <c r="F22" s="422">
        <f>+IF(チェックリスト!C4=0,"",チェックリスト!C4)</f>
      </c>
      <c r="G22" s="423"/>
      <c r="H22" s="423"/>
      <c r="I22" s="423"/>
      <c r="J22" s="3" t="s">
        <v>59</v>
      </c>
      <c r="K22" s="414">
        <f>+IF(P22=3,"長屋等","")</f>
      </c>
      <c r="L22" s="415"/>
      <c r="P22" s="161">
        <f>+チェックリスト!R5</f>
        <v>0</v>
      </c>
    </row>
    <row r="24" spans="3:11" ht="15" customHeight="1">
      <c r="C24" s="3" t="s">
        <v>445</v>
      </c>
      <c r="E24" s="35" t="s">
        <v>734</v>
      </c>
      <c r="F24" s="35"/>
      <c r="G24" s="3" t="s">
        <v>51</v>
      </c>
      <c r="H24" s="35"/>
      <c r="I24" s="3" t="s">
        <v>52</v>
      </c>
      <c r="J24" s="35"/>
      <c r="K24" s="3" t="s">
        <v>53</v>
      </c>
    </row>
    <row r="26" spans="3:11" ht="15" customHeight="1">
      <c r="C26" s="3" t="s">
        <v>77</v>
      </c>
      <c r="E26" s="35" t="s">
        <v>733</v>
      </c>
      <c r="F26" s="97">
        <f>+IF(チェックリスト!D3=0,"",チェックリスト!D3)</f>
      </c>
      <c r="G26" s="3" t="s">
        <v>51</v>
      </c>
      <c r="H26" s="97">
        <f>+IF(チェックリスト!F3=0,"",チェックリスト!F3)</f>
      </c>
      <c r="I26" s="3" t="s">
        <v>52</v>
      </c>
      <c r="J26" s="97">
        <f>+IF(チェックリスト!H3=0,"",チェックリスト!H3)</f>
      </c>
      <c r="K26" s="3" t="s">
        <v>53</v>
      </c>
    </row>
    <row r="34" spans="3:11" ht="15" customHeight="1">
      <c r="C34" s="2" t="s">
        <v>79</v>
      </c>
      <c r="G34" s="436"/>
      <c r="H34" s="437"/>
      <c r="I34" s="437"/>
      <c r="J34" s="437"/>
      <c r="K34" s="438"/>
    </row>
    <row r="35" spans="3:11" ht="15" customHeight="1">
      <c r="C35" s="3" t="s">
        <v>80</v>
      </c>
      <c r="G35" s="433"/>
      <c r="H35" s="439"/>
      <c r="I35" s="439"/>
      <c r="J35" s="439"/>
      <c r="K35" s="440"/>
    </row>
    <row r="36" spans="7:11" ht="15" customHeight="1">
      <c r="G36" s="229" t="s">
        <v>81</v>
      </c>
      <c r="H36" s="411"/>
      <c r="I36" s="412"/>
      <c r="J36" s="412"/>
      <c r="K36" s="413"/>
    </row>
    <row r="37" spans="7:11" ht="15" customHeight="1">
      <c r="G37" s="230" t="s">
        <v>82</v>
      </c>
      <c r="H37" s="411"/>
      <c r="I37" s="412"/>
      <c r="J37" s="412"/>
      <c r="K37" s="413"/>
    </row>
    <row r="38" spans="3:11" ht="15" customHeight="1">
      <c r="C38" s="2" t="s">
        <v>345</v>
      </c>
      <c r="G38" s="433" t="s">
        <v>744</v>
      </c>
      <c r="H38" s="434"/>
      <c r="I38" s="434"/>
      <c r="J38" s="434"/>
      <c r="K38" s="435"/>
    </row>
    <row r="39" spans="3:11" ht="15" customHeight="1">
      <c r="C39" s="2" t="s">
        <v>154</v>
      </c>
      <c r="E39" s="1"/>
      <c r="F39" s="1"/>
      <c r="G39" s="433" t="s">
        <v>728</v>
      </c>
      <c r="H39" s="434"/>
      <c r="I39" s="434"/>
      <c r="J39" s="434"/>
      <c r="K39" s="435"/>
    </row>
    <row r="40" spans="3:11" ht="15" customHeight="1">
      <c r="C40" s="2" t="s">
        <v>83</v>
      </c>
      <c r="G40" s="424"/>
      <c r="H40" s="425"/>
      <c r="I40" s="425"/>
      <c r="J40" s="426"/>
      <c r="K40" s="151" t="s">
        <v>332</v>
      </c>
    </row>
    <row r="42" ht="15" customHeight="1">
      <c r="L42" s="76"/>
    </row>
    <row r="43" spans="1:11" ht="15" customHeight="1">
      <c r="A43" s="416" t="s">
        <v>127</v>
      </c>
      <c r="B43" s="417"/>
      <c r="C43" s="8"/>
      <c r="D43" s="9"/>
      <c r="E43" s="9"/>
      <c r="F43" s="9"/>
      <c r="G43" s="9"/>
      <c r="H43" s="9"/>
      <c r="I43" s="9"/>
      <c r="J43" s="9"/>
      <c r="K43" s="77"/>
    </row>
    <row r="44" spans="1:11" ht="15" customHeight="1">
      <c r="A44" s="418"/>
      <c r="B44" s="419"/>
      <c r="C44" s="13"/>
      <c r="K44" s="10"/>
    </row>
    <row r="45" spans="1:11" ht="15" customHeight="1">
      <c r="A45" s="418"/>
      <c r="B45" s="419"/>
      <c r="C45" s="13"/>
      <c r="K45" s="10"/>
    </row>
    <row r="46" spans="1:11" ht="15" customHeight="1">
      <c r="A46" s="420"/>
      <c r="B46" s="421"/>
      <c r="C46" s="14"/>
      <c r="D46" s="4"/>
      <c r="E46" s="4"/>
      <c r="F46" s="4"/>
      <c r="G46" s="4"/>
      <c r="H46" s="4"/>
      <c r="I46" s="4"/>
      <c r="J46" s="4"/>
      <c r="K46" s="11"/>
    </row>
  </sheetData>
  <sheetProtection sheet="1" objects="1" scenarios="1" formatCells="0" formatColumns="0" formatRows="0"/>
  <mergeCells count="12">
    <mergeCell ref="G35:K35"/>
    <mergeCell ref="H36:K36"/>
    <mergeCell ref="H37:K37"/>
    <mergeCell ref="K22:L22"/>
    <mergeCell ref="A43:B46"/>
    <mergeCell ref="F22:I22"/>
    <mergeCell ref="G40:J40"/>
    <mergeCell ref="E5:H5"/>
    <mergeCell ref="I5:L5"/>
    <mergeCell ref="G39:K39"/>
    <mergeCell ref="G38:K38"/>
    <mergeCell ref="G34:K34"/>
  </mergeCells>
  <printOptions/>
  <pageMargins left="0.984251968503937" right="0.5905511811023623" top="0.5905511811023623" bottom="0.5905511811023623" header="0.31496062992125984" footer="0.31496062992125984"/>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AD51"/>
  <sheetViews>
    <sheetView zoomScalePageLayoutView="0" workbookViewId="0" topLeftCell="A5">
      <selection activeCell="S28" sqref="S28"/>
    </sheetView>
  </sheetViews>
  <sheetFormatPr defaultColWidth="8.88671875" defaultRowHeight="15"/>
  <cols>
    <col min="1" max="1" width="6.77734375" style="2" customWidth="1"/>
    <col min="2" max="15" width="4.5546875" style="2" customWidth="1"/>
    <col min="16" max="17" width="6.77734375" style="2" customWidth="1"/>
    <col min="18" max="30" width="4.77734375" style="2" customWidth="1"/>
    <col min="31" max="16384" width="8.88671875" style="2" customWidth="1"/>
  </cols>
  <sheetData>
    <row r="1" spans="1:15" ht="17.25">
      <c r="A1" s="92" t="s">
        <v>684</v>
      </c>
      <c r="L1" s="3"/>
      <c r="M1" s="76" t="s">
        <v>38</v>
      </c>
      <c r="N1" s="1002">
        <f>+'報告書'!K1</f>
        <v>45474</v>
      </c>
      <c r="O1" s="923"/>
    </row>
    <row r="2" spans="12:15" ht="13.5">
      <c r="L2" s="1003">
        <f>IF('補強計画表紙'!I5="","",'補強計画表紙'!I5)</f>
      </c>
      <c r="M2" s="1004"/>
      <c r="N2" s="1004"/>
      <c r="O2" s="1005"/>
    </row>
    <row r="3" spans="8:29" ht="15">
      <c r="H3" s="373"/>
      <c r="I3" s="373"/>
      <c r="J3" s="373"/>
      <c r="K3" s="373"/>
      <c r="Z3" s="967"/>
      <c r="AA3" s="771"/>
      <c r="AB3" s="771"/>
      <c r="AC3" s="771"/>
    </row>
    <row r="4" spans="1:29" ht="13.5" customHeight="1">
      <c r="A4" s="80"/>
      <c r="B4" s="80"/>
      <c r="C4" s="80"/>
      <c r="D4" s="3"/>
      <c r="E4" s="3"/>
      <c r="F4" s="3"/>
      <c r="G4" s="3"/>
      <c r="H4" s="3"/>
      <c r="I4" s="3"/>
      <c r="J4" s="3"/>
      <c r="K4" s="3"/>
      <c r="M4" s="246"/>
      <c r="N4" s="246"/>
      <c r="O4" s="246"/>
      <c r="R4" s="2" t="s">
        <v>695</v>
      </c>
      <c r="Z4" s="246"/>
      <c r="AA4" s="246"/>
      <c r="AB4" s="246"/>
      <c r="AC4" s="80"/>
    </row>
    <row r="5" spans="1:29" ht="15" customHeight="1">
      <c r="A5" s="1006" t="s">
        <v>735</v>
      </c>
      <c r="B5" s="850"/>
      <c r="C5" s="850"/>
      <c r="D5" s="850"/>
      <c r="E5" s="850"/>
      <c r="F5" s="850"/>
      <c r="G5" s="850"/>
      <c r="H5" s="850"/>
      <c r="I5" s="850"/>
      <c r="J5" s="973" t="s">
        <v>688</v>
      </c>
      <c r="K5" s="959"/>
      <c r="L5" s="968">
        <f>IF(R17=0,IF(B16="","",B16/10000),IF(B17="","",B17/10000))</f>
      </c>
      <c r="M5" s="969"/>
      <c r="N5" s="973" t="s">
        <v>689</v>
      </c>
      <c r="O5" s="959"/>
      <c r="R5" s="2">
        <f>+W5</f>
        <v>0</v>
      </c>
      <c r="S5" s="2" t="s">
        <v>652</v>
      </c>
      <c r="W5" s="2">
        <f>+'補強案計算書'!K24</f>
        <v>0</v>
      </c>
      <c r="Z5" s="967"/>
      <c r="AA5" s="445"/>
      <c r="AB5" s="445"/>
      <c r="AC5" s="771"/>
    </row>
    <row r="6" spans="1:29" ht="15" customHeight="1">
      <c r="A6" s="3"/>
      <c r="C6" s="3"/>
      <c r="D6" s="3"/>
      <c r="E6" s="3"/>
      <c r="F6" s="3"/>
      <c r="G6" s="3"/>
      <c r="H6" s="3"/>
      <c r="I6" s="83"/>
      <c r="J6" s="83"/>
      <c r="K6" s="83"/>
      <c r="M6" s="246"/>
      <c r="N6" s="246"/>
      <c r="Z6" s="76"/>
      <c r="AA6" s="246"/>
      <c r="AB6" s="246"/>
      <c r="AC6" s="80"/>
    </row>
    <row r="7" spans="1:29" ht="15" customHeight="1">
      <c r="A7" s="1006" t="s">
        <v>736</v>
      </c>
      <c r="B7" s="850"/>
      <c r="C7" s="850"/>
      <c r="D7" s="850"/>
      <c r="E7" s="850"/>
      <c r="F7" s="850"/>
      <c r="G7" s="850"/>
      <c r="H7" s="850"/>
      <c r="I7" s="850"/>
      <c r="J7" s="973" t="s">
        <v>688</v>
      </c>
      <c r="K7" s="959"/>
      <c r="L7" s="968">
        <f>IF(B18="","",IF(B18="○○○","○○○",IF(B18=0,B17/10000,B18/10000)))</f>
      </c>
      <c r="M7" s="969"/>
      <c r="N7" s="973" t="s">
        <v>689</v>
      </c>
      <c r="O7" s="959"/>
      <c r="R7" s="2">
        <f>+W7</f>
        <v>0</v>
      </c>
      <c r="S7" s="2" t="s">
        <v>653</v>
      </c>
      <c r="W7" s="2">
        <f>+'補強案計算書'!K37</f>
        <v>0</v>
      </c>
      <c r="Z7" s="246"/>
      <c r="AA7" s="246"/>
      <c r="AB7" s="246"/>
      <c r="AC7" s="80"/>
    </row>
    <row r="8" spans="1:14" ht="15" customHeight="1">
      <c r="A8" s="3"/>
      <c r="C8" s="3"/>
      <c r="D8" s="3"/>
      <c r="E8" s="3"/>
      <c r="F8" s="3"/>
      <c r="G8" s="3"/>
      <c r="H8" s="3"/>
      <c r="I8" s="83"/>
      <c r="J8" s="83"/>
      <c r="K8" s="83"/>
      <c r="M8" s="246"/>
      <c r="N8" s="246"/>
    </row>
    <row r="9" ht="15" customHeight="1"/>
    <row r="11" ht="13.5">
      <c r="Q11" s="2" t="s">
        <v>704</v>
      </c>
    </row>
    <row r="13" spans="1:19" ht="15">
      <c r="A13" s="646"/>
      <c r="B13" s="1010" t="s">
        <v>659</v>
      </c>
      <c r="C13" s="1008"/>
      <c r="D13" s="981" t="s">
        <v>692</v>
      </c>
      <c r="E13" s="1000" t="s">
        <v>654</v>
      </c>
      <c r="F13" s="1001"/>
      <c r="G13" s="981" t="s">
        <v>658</v>
      </c>
      <c r="H13" s="978" t="s">
        <v>693</v>
      </c>
      <c r="I13" s="979"/>
      <c r="J13" s="981" t="s">
        <v>657</v>
      </c>
      <c r="K13" s="1007" t="s">
        <v>662</v>
      </c>
      <c r="L13" s="1008"/>
      <c r="M13" s="981" t="s">
        <v>656</v>
      </c>
      <c r="N13" s="970" t="s">
        <v>661</v>
      </c>
      <c r="O13" s="971"/>
      <c r="S13" s="2" t="s">
        <v>673</v>
      </c>
    </row>
    <row r="14" spans="1:25" ht="15">
      <c r="A14" s="647"/>
      <c r="B14" s="1011"/>
      <c r="C14" s="1009"/>
      <c r="D14" s="982"/>
      <c r="E14" s="1013" t="s">
        <v>655</v>
      </c>
      <c r="F14" s="1014"/>
      <c r="G14" s="982"/>
      <c r="H14" s="980"/>
      <c r="I14" s="980"/>
      <c r="J14" s="982"/>
      <c r="K14" s="1009"/>
      <c r="L14" s="1009"/>
      <c r="M14" s="982"/>
      <c r="N14" s="972"/>
      <c r="O14" s="971"/>
      <c r="R14" s="342" t="s">
        <v>694</v>
      </c>
      <c r="U14" s="2" t="s">
        <v>58</v>
      </c>
      <c r="W14" s="2" t="s">
        <v>674</v>
      </c>
      <c r="Y14" s="2" t="s">
        <v>675</v>
      </c>
    </row>
    <row r="15" spans="1:30" ht="19.5" customHeight="1">
      <c r="A15" s="383" t="s">
        <v>528</v>
      </c>
      <c r="B15" s="996">
        <f>IF(W15=0,"",IF(K15&gt;=1,0,IF(H15-K15&lt;0,0,E15*(H15-K15)*N15)))</f>
      </c>
      <c r="C15" s="997"/>
      <c r="D15" s="384" t="s">
        <v>660</v>
      </c>
      <c r="E15" s="974">
        <f>+IF(W15=0,"",Q18)</f>
      </c>
      <c r="F15" s="975"/>
      <c r="G15" s="384" t="s">
        <v>658</v>
      </c>
      <c r="H15" s="976">
        <f>IF(R15=0,"",R15)</f>
      </c>
      <c r="I15" s="977"/>
      <c r="J15" s="384" t="s">
        <v>657</v>
      </c>
      <c r="K15" s="989">
        <f>IF(W15=0,"",W15)</f>
      </c>
      <c r="L15" s="990"/>
      <c r="M15" s="384" t="s">
        <v>656</v>
      </c>
      <c r="N15" s="985">
        <f>IF(W15=0,"",U15)</f>
      </c>
      <c r="O15" s="986"/>
      <c r="Q15" s="375"/>
      <c r="R15" s="387">
        <f>Y15</f>
        <v>0</v>
      </c>
      <c r="S15" s="379" t="s">
        <v>670</v>
      </c>
      <c r="T15" s="376"/>
      <c r="U15" s="2">
        <f>+'補強案計算書'!B18</f>
        <v>0</v>
      </c>
      <c r="W15" s="378">
        <f>+MIN('補強案計算書'!K18:K19)</f>
        <v>0</v>
      </c>
      <c r="X15" s="379"/>
      <c r="Y15" s="374">
        <f>+MIN('補強案計算書'!K31:K32)</f>
        <v>0</v>
      </c>
      <c r="Z15" s="374"/>
      <c r="AA15" s="128"/>
      <c r="AB15" s="379"/>
      <c r="AC15" s="377"/>
      <c r="AD15" s="378"/>
    </row>
    <row r="16" spans="1:25" ht="19.5" customHeight="1">
      <c r="A16" s="383" t="s">
        <v>529</v>
      </c>
      <c r="B16" s="987">
        <f>IF(OR(W16=0,R16=0),"",IF(E16="○○○","○○○",IF(K16&gt;=1,0,IF(H16-K16&lt;0,0,E16*(H16-K16)*N16))))</f>
      </c>
      <c r="C16" s="988"/>
      <c r="D16" s="384" t="s">
        <v>660</v>
      </c>
      <c r="E16" s="974">
        <f>IF(W16=0,"",Q18)</f>
      </c>
      <c r="F16" s="975"/>
      <c r="G16" s="384" t="s">
        <v>658</v>
      </c>
      <c r="H16" s="976">
        <f>IF(R16=0,"",R16)</f>
      </c>
      <c r="I16" s="977"/>
      <c r="J16" s="384" t="s">
        <v>657</v>
      </c>
      <c r="K16" s="989">
        <f>IF(W16=0,"",W16)</f>
      </c>
      <c r="L16" s="990"/>
      <c r="M16" s="384" t="s">
        <v>656</v>
      </c>
      <c r="N16" s="985">
        <f>IF(W16=0,"",U16)</f>
      </c>
      <c r="O16" s="986"/>
      <c r="R16" s="387">
        <f>Y16</f>
        <v>0</v>
      </c>
      <c r="S16" s="379" t="s">
        <v>671</v>
      </c>
      <c r="U16" s="2">
        <f>+'補強案計算書'!B20</f>
        <v>0</v>
      </c>
      <c r="W16" s="2">
        <f>+MIN('補強案計算書'!K20:K21)</f>
        <v>0</v>
      </c>
      <c r="Y16" s="2">
        <f>+MIN('補強案計算書'!K33:K34)</f>
        <v>0</v>
      </c>
    </row>
    <row r="17" spans="1:25" ht="19.5" customHeight="1">
      <c r="A17" s="383" t="s">
        <v>530</v>
      </c>
      <c r="B17" s="987">
        <f>IF(OR(W17=0,R17=0),"",IF(E17="○○○","○○○",IF(K17&gt;=1,0,IF(H17-K17&lt;0,0,E17*(H17-K17)*N17))))</f>
      </c>
      <c r="C17" s="988"/>
      <c r="D17" s="384" t="s">
        <v>660</v>
      </c>
      <c r="E17" s="974">
        <f>IF(W17=0,"",Q18)</f>
      </c>
      <c r="F17" s="975"/>
      <c r="G17" s="384" t="s">
        <v>658</v>
      </c>
      <c r="H17" s="976">
        <f>IF(R17=0,"",R17)</f>
      </c>
      <c r="I17" s="977"/>
      <c r="J17" s="384" t="s">
        <v>657</v>
      </c>
      <c r="K17" s="989">
        <f>IF(W17=0,"",W17)</f>
      </c>
      <c r="L17" s="990"/>
      <c r="M17" s="384" t="s">
        <v>656</v>
      </c>
      <c r="N17" s="985">
        <f>IF(W17=0,"",U17)</f>
      </c>
      <c r="O17" s="986"/>
      <c r="Q17" s="389" t="s">
        <v>654</v>
      </c>
      <c r="R17" s="387">
        <f>Y17</f>
        <v>0</v>
      </c>
      <c r="S17" s="379" t="s">
        <v>672</v>
      </c>
      <c r="U17" s="2">
        <f>+'補強案計算書'!B22</f>
        <v>0</v>
      </c>
      <c r="W17" s="2">
        <f>+MIN('補強案計算書'!K22:K23)</f>
        <v>0</v>
      </c>
      <c r="Y17" s="2">
        <f>+MIN('補強案計算書'!K35:K36)</f>
        <v>0</v>
      </c>
    </row>
    <row r="18" spans="1:17" ht="19.5" customHeight="1">
      <c r="A18" s="383" t="s">
        <v>201</v>
      </c>
      <c r="B18" s="998">
        <f>+IF(E17="○○○","○○○",IF(SUM(B15:C17)=0,"",SUM(B15:C17)))</f>
      </c>
      <c r="C18" s="999"/>
      <c r="D18" s="384" t="s">
        <v>663</v>
      </c>
      <c r="E18" s="991"/>
      <c r="F18" s="647"/>
      <c r="G18" s="647"/>
      <c r="H18" s="647"/>
      <c r="I18" s="647"/>
      <c r="J18" s="647"/>
      <c r="K18" s="647"/>
      <c r="L18" s="647"/>
      <c r="M18" s="647"/>
      <c r="N18" s="647"/>
      <c r="O18" s="647"/>
      <c r="Q18" s="388">
        <v>50000</v>
      </c>
    </row>
    <row r="19" spans="1:15" ht="13.5">
      <c r="A19" s="3"/>
      <c r="B19" s="3"/>
      <c r="C19" s="3"/>
      <c r="D19" s="3"/>
      <c r="E19" s="3"/>
      <c r="F19" s="3"/>
      <c r="G19" s="3"/>
      <c r="H19" s="3"/>
      <c r="I19" s="3"/>
      <c r="J19" s="3"/>
      <c r="K19" s="3"/>
      <c r="L19" s="3"/>
      <c r="M19" s="3"/>
      <c r="N19" s="3"/>
      <c r="O19" s="3"/>
    </row>
    <row r="20" spans="1:15" ht="13.5">
      <c r="A20" s="3"/>
      <c r="B20" s="3"/>
      <c r="C20" s="3"/>
      <c r="D20" s="3"/>
      <c r="E20" s="3"/>
      <c r="F20" s="3"/>
      <c r="G20" s="3"/>
      <c r="H20" s="3"/>
      <c r="I20" s="3"/>
      <c r="J20" s="3"/>
      <c r="K20" s="3"/>
      <c r="L20" s="3"/>
      <c r="M20" s="3"/>
      <c r="N20" s="3"/>
      <c r="O20" s="3"/>
    </row>
    <row r="21" spans="1:15" ht="15">
      <c r="A21" s="994" t="s">
        <v>690</v>
      </c>
      <c r="B21" s="995"/>
      <c r="C21" s="995"/>
      <c r="D21" s="995"/>
      <c r="E21" s="995"/>
      <c r="F21" s="995"/>
      <c r="G21" s="995"/>
      <c r="H21" s="995"/>
      <c r="I21" s="995"/>
      <c r="J21" s="995"/>
      <c r="K21" s="995"/>
      <c r="L21" s="995"/>
      <c r="M21" s="995"/>
      <c r="N21" s="995"/>
      <c r="O21" s="995"/>
    </row>
    <row r="22" spans="1:15" ht="13.5">
      <c r="A22" s="3" t="s">
        <v>691</v>
      </c>
      <c r="B22" s="3"/>
      <c r="C22" s="3"/>
      <c r="D22" s="3"/>
      <c r="E22" s="3"/>
      <c r="F22" s="3"/>
      <c r="G22" s="3"/>
      <c r="H22" s="3"/>
      <c r="I22" s="3"/>
      <c r="J22" s="3"/>
      <c r="K22" s="3"/>
      <c r="L22" s="3"/>
      <c r="M22" s="3"/>
      <c r="N22" s="3"/>
      <c r="O22" s="3"/>
    </row>
    <row r="23" spans="1:15" ht="14.25">
      <c r="A23" s="3" t="s">
        <v>703</v>
      </c>
      <c r="B23" s="3"/>
      <c r="C23" s="3"/>
      <c r="D23" s="3"/>
      <c r="E23" s="385"/>
      <c r="F23" s="386"/>
      <c r="G23" s="3"/>
      <c r="H23" s="3"/>
      <c r="I23" s="3"/>
      <c r="J23" s="3"/>
      <c r="K23" s="3"/>
      <c r="L23" s="3"/>
      <c r="M23" s="3"/>
      <c r="N23" s="3"/>
      <c r="O23" s="3"/>
    </row>
    <row r="24" spans="1:15" ht="14.25">
      <c r="A24" s="3"/>
      <c r="B24" s="3"/>
      <c r="C24" s="3"/>
      <c r="D24" s="3"/>
      <c r="E24" s="385"/>
      <c r="F24" s="386"/>
      <c r="G24" s="3"/>
      <c r="H24" s="3"/>
      <c r="I24" s="3"/>
      <c r="J24" s="3"/>
      <c r="K24" s="3"/>
      <c r="L24" s="3"/>
      <c r="M24" s="3"/>
      <c r="N24" s="3"/>
      <c r="O24" s="3"/>
    </row>
    <row r="25" spans="1:15" ht="13.5">
      <c r="A25" s="716" t="s">
        <v>747</v>
      </c>
      <c r="B25" s="601"/>
      <c r="C25" s="601"/>
      <c r="D25" s="601"/>
      <c r="E25" s="601"/>
      <c r="F25" s="601"/>
      <c r="G25" s="601"/>
      <c r="H25" s="601"/>
      <c r="I25" s="601"/>
      <c r="J25" s="601"/>
      <c r="K25" s="601"/>
      <c r="L25" s="601"/>
      <c r="M25" s="601"/>
      <c r="N25" s="601"/>
      <c r="O25" s="601"/>
    </row>
    <row r="26" spans="1:15" ht="13.5">
      <c r="A26" s="601"/>
      <c r="B26" s="601"/>
      <c r="C26" s="601"/>
      <c r="D26" s="601"/>
      <c r="E26" s="601"/>
      <c r="F26" s="601"/>
      <c r="G26" s="601"/>
      <c r="H26" s="601"/>
      <c r="I26" s="601"/>
      <c r="J26" s="601"/>
      <c r="K26" s="601"/>
      <c r="L26" s="601"/>
      <c r="M26" s="601"/>
      <c r="N26" s="601"/>
      <c r="O26" s="601"/>
    </row>
    <row r="27" spans="1:15" ht="13.5">
      <c r="A27" s="3"/>
      <c r="B27" s="3"/>
      <c r="C27" s="3"/>
      <c r="D27" s="3"/>
      <c r="E27" s="3"/>
      <c r="F27" s="3"/>
      <c r="G27" s="3"/>
      <c r="H27" s="3"/>
      <c r="I27" s="3"/>
      <c r="J27" s="3"/>
      <c r="K27" s="3"/>
      <c r="L27" s="3"/>
      <c r="M27" s="3"/>
      <c r="N27" s="3"/>
      <c r="O27" s="3"/>
    </row>
    <row r="28" spans="1:15" ht="15">
      <c r="A28" s="967" t="s">
        <v>654</v>
      </c>
      <c r="B28" s="445"/>
      <c r="C28" s="1012" t="s">
        <v>664</v>
      </c>
      <c r="D28" s="1015" t="s">
        <v>666</v>
      </c>
      <c r="E28" s="1016"/>
      <c r="F28" s="1016"/>
      <c r="G28" s="1016"/>
      <c r="H28" s="1016"/>
      <c r="I28" s="1016"/>
      <c r="J28" s="1016"/>
      <c r="K28" s="1016"/>
      <c r="L28" s="1016"/>
      <c r="M28" s="1016"/>
      <c r="N28" s="1016"/>
      <c r="O28" s="3"/>
    </row>
    <row r="29" spans="1:15" ht="15">
      <c r="A29" s="1017" t="s">
        <v>655</v>
      </c>
      <c r="B29" s="1018"/>
      <c r="C29" s="471"/>
      <c r="D29" s="1017" t="s">
        <v>665</v>
      </c>
      <c r="E29" s="1018"/>
      <c r="F29" s="1018"/>
      <c r="G29" s="1018"/>
      <c r="H29" s="1018"/>
      <c r="I29" s="1018"/>
      <c r="J29" s="1018"/>
      <c r="K29" s="1018"/>
      <c r="L29" s="1018"/>
      <c r="M29" s="1018"/>
      <c r="N29" s="1018"/>
      <c r="O29" s="3"/>
    </row>
    <row r="30" spans="1:15" ht="13.5">
      <c r="A30" s="3"/>
      <c r="B30" s="3"/>
      <c r="C30" s="3"/>
      <c r="D30" s="3"/>
      <c r="E30" s="3"/>
      <c r="F30" s="3"/>
      <c r="G30" s="3"/>
      <c r="H30" s="3"/>
      <c r="I30" s="3"/>
      <c r="J30" s="3"/>
      <c r="K30" s="3"/>
      <c r="L30" s="3"/>
      <c r="M30" s="3"/>
      <c r="N30" s="3"/>
      <c r="O30" s="3"/>
    </row>
    <row r="32" spans="1:15" ht="13.5">
      <c r="A32" s="2" t="s">
        <v>681</v>
      </c>
      <c r="C32" s="992" t="s">
        <v>687</v>
      </c>
      <c r="D32" s="601"/>
      <c r="E32" s="601"/>
      <c r="F32" s="601"/>
      <c r="G32" s="601"/>
      <c r="H32" s="601"/>
      <c r="I32" s="601"/>
      <c r="J32" s="601"/>
      <c r="K32" s="601"/>
      <c r="L32" s="601"/>
      <c r="M32" s="601"/>
      <c r="N32" s="601"/>
      <c r="O32" s="601"/>
    </row>
    <row r="33" spans="3:15" ht="13.5">
      <c r="C33" s="992"/>
      <c r="D33" s="601"/>
      <c r="E33" s="601"/>
      <c r="F33" s="601"/>
      <c r="G33" s="601"/>
      <c r="H33" s="601"/>
      <c r="I33" s="601"/>
      <c r="J33" s="601"/>
      <c r="K33" s="601"/>
      <c r="L33" s="601"/>
      <c r="M33" s="601"/>
      <c r="N33" s="601"/>
      <c r="O33" s="601"/>
    </row>
    <row r="34" spans="3:15" ht="13.5">
      <c r="C34" s="992"/>
      <c r="D34" s="601"/>
      <c r="E34" s="601"/>
      <c r="F34" s="601"/>
      <c r="G34" s="601"/>
      <c r="H34" s="601"/>
      <c r="I34" s="601"/>
      <c r="J34" s="601"/>
      <c r="K34" s="601"/>
      <c r="L34" s="601"/>
      <c r="M34" s="601"/>
      <c r="N34" s="601"/>
      <c r="O34" s="601"/>
    </row>
    <row r="35" spans="3:15" ht="13.5">
      <c r="C35" s="601"/>
      <c r="D35" s="601"/>
      <c r="E35" s="601"/>
      <c r="F35" s="601"/>
      <c r="G35" s="601"/>
      <c r="H35" s="601"/>
      <c r="I35" s="601"/>
      <c r="J35" s="601"/>
      <c r="K35" s="601"/>
      <c r="L35" s="601"/>
      <c r="M35" s="601"/>
      <c r="N35" s="601"/>
      <c r="O35" s="601"/>
    </row>
    <row r="37" spans="1:15" ht="13.5">
      <c r="A37" s="2" t="s">
        <v>682</v>
      </c>
      <c r="C37" s="983" t="s">
        <v>685</v>
      </c>
      <c r="D37" s="984"/>
      <c r="E37" s="984"/>
      <c r="F37" s="984"/>
      <c r="G37" s="984"/>
      <c r="H37" s="984"/>
      <c r="I37" s="984"/>
      <c r="J37" s="984"/>
      <c r="K37" s="984"/>
      <c r="L37" s="984"/>
      <c r="M37" s="984"/>
      <c r="N37" s="984"/>
      <c r="O37" s="984"/>
    </row>
    <row r="38" spans="3:15" ht="19.5" customHeight="1">
      <c r="C38" s="983"/>
      <c r="D38" s="984"/>
      <c r="E38" s="984"/>
      <c r="F38" s="984"/>
      <c r="G38" s="984"/>
      <c r="H38" s="984"/>
      <c r="I38" s="984"/>
      <c r="J38" s="984"/>
      <c r="K38" s="984"/>
      <c r="L38" s="984"/>
      <c r="M38" s="984"/>
      <c r="N38" s="984"/>
      <c r="O38" s="984"/>
    </row>
    <row r="39" spans="3:15" ht="13.5">
      <c r="C39" s="984"/>
      <c r="D39" s="984"/>
      <c r="E39" s="984"/>
      <c r="F39" s="984"/>
      <c r="G39" s="984"/>
      <c r="H39" s="984"/>
      <c r="I39" s="984"/>
      <c r="J39" s="984"/>
      <c r="K39" s="984"/>
      <c r="L39" s="984"/>
      <c r="M39" s="984"/>
      <c r="N39" s="984"/>
      <c r="O39" s="984"/>
    </row>
    <row r="41" spans="1:15" ht="13.5">
      <c r="A41" s="2" t="s">
        <v>683</v>
      </c>
      <c r="C41" s="983" t="s">
        <v>668</v>
      </c>
      <c r="D41" s="984"/>
      <c r="E41" s="984"/>
      <c r="F41" s="984"/>
      <c r="G41" s="984"/>
      <c r="H41" s="984"/>
      <c r="I41" s="984"/>
      <c r="J41" s="984"/>
      <c r="K41" s="984"/>
      <c r="L41" s="984"/>
      <c r="M41" s="984"/>
      <c r="N41" s="984"/>
      <c r="O41" s="984"/>
    </row>
    <row r="42" spans="3:15" ht="13.5" customHeight="1">
      <c r="C42" s="984"/>
      <c r="D42" s="984"/>
      <c r="E42" s="984"/>
      <c r="F42" s="984"/>
      <c r="G42" s="984"/>
      <c r="H42" s="984"/>
      <c r="I42" s="984"/>
      <c r="J42" s="984"/>
      <c r="K42" s="984"/>
      <c r="L42" s="984"/>
      <c r="M42" s="984"/>
      <c r="N42" s="984"/>
      <c r="O42" s="984"/>
    </row>
    <row r="43" spans="3:15" ht="13.5" customHeight="1">
      <c r="C43" s="984"/>
      <c r="D43" s="984"/>
      <c r="E43" s="984"/>
      <c r="F43" s="984"/>
      <c r="G43" s="984"/>
      <c r="H43" s="984"/>
      <c r="I43" s="984"/>
      <c r="J43" s="984"/>
      <c r="K43" s="984"/>
      <c r="L43" s="984"/>
      <c r="M43" s="984"/>
      <c r="N43" s="984"/>
      <c r="O43" s="984"/>
    </row>
    <row r="44" spans="3:15" ht="13.5">
      <c r="C44" s="983" t="s">
        <v>686</v>
      </c>
      <c r="D44" s="984"/>
      <c r="E44" s="984"/>
      <c r="F44" s="984"/>
      <c r="G44" s="984"/>
      <c r="H44" s="984"/>
      <c r="I44" s="984"/>
      <c r="J44" s="984"/>
      <c r="K44" s="984"/>
      <c r="L44" s="984"/>
      <c r="M44" s="984"/>
      <c r="N44" s="984"/>
      <c r="O44" s="984"/>
    </row>
    <row r="45" spans="3:15" ht="13.5">
      <c r="C45" s="983"/>
      <c r="D45" s="984"/>
      <c r="E45" s="984"/>
      <c r="F45" s="984"/>
      <c r="G45" s="984"/>
      <c r="H45" s="984"/>
      <c r="I45" s="984"/>
      <c r="J45" s="984"/>
      <c r="K45" s="984"/>
      <c r="L45" s="984"/>
      <c r="M45" s="984"/>
      <c r="N45" s="984"/>
      <c r="O45" s="984"/>
    </row>
    <row r="46" spans="3:15" ht="13.5">
      <c r="C46" s="983"/>
      <c r="D46" s="984"/>
      <c r="E46" s="984"/>
      <c r="F46" s="984"/>
      <c r="G46" s="984"/>
      <c r="H46" s="984"/>
      <c r="I46" s="984"/>
      <c r="J46" s="984"/>
      <c r="K46" s="984"/>
      <c r="L46" s="984"/>
      <c r="M46" s="984"/>
      <c r="N46" s="984"/>
      <c r="O46" s="984"/>
    </row>
    <row r="47" spans="3:15" ht="13.5" customHeight="1">
      <c r="C47" s="984"/>
      <c r="D47" s="984"/>
      <c r="E47" s="984"/>
      <c r="F47" s="984"/>
      <c r="G47" s="984"/>
      <c r="H47" s="984"/>
      <c r="I47" s="984"/>
      <c r="J47" s="984"/>
      <c r="K47" s="984"/>
      <c r="L47" s="984"/>
      <c r="M47" s="984"/>
      <c r="N47" s="984"/>
      <c r="O47" s="984"/>
    </row>
    <row r="48" ht="13.5" customHeight="1"/>
    <row r="49" ht="13.5" customHeight="1"/>
    <row r="51" spans="6:9" ht="15">
      <c r="F51" s="444" t="s">
        <v>676</v>
      </c>
      <c r="G51" s="993"/>
      <c r="H51" s="993"/>
      <c r="I51" s="959"/>
    </row>
  </sheetData>
  <sheetProtection sheet="1" objects="1" scenarios="1" formatCells="0" formatColumns="0" formatRows="0"/>
  <mergeCells count="52">
    <mergeCell ref="A29:B29"/>
    <mergeCell ref="D29:N29"/>
    <mergeCell ref="B13:C14"/>
    <mergeCell ref="N15:O15"/>
    <mergeCell ref="K17:L17"/>
    <mergeCell ref="H17:I17"/>
    <mergeCell ref="C28:C29"/>
    <mergeCell ref="J5:K5"/>
    <mergeCell ref="E14:F14"/>
    <mergeCell ref="D28:N28"/>
    <mergeCell ref="B16:C16"/>
    <mergeCell ref="A28:B28"/>
    <mergeCell ref="K15:L15"/>
    <mergeCell ref="E16:F16"/>
    <mergeCell ref="C44:O47"/>
    <mergeCell ref="N1:O1"/>
    <mergeCell ref="L2:O2"/>
    <mergeCell ref="A5:I5"/>
    <mergeCell ref="A7:I7"/>
    <mergeCell ref="J7:K7"/>
    <mergeCell ref="E17:F17"/>
    <mergeCell ref="K13:L14"/>
    <mergeCell ref="G13:G14"/>
    <mergeCell ref="C32:O35"/>
    <mergeCell ref="N16:O16"/>
    <mergeCell ref="F51:I51"/>
    <mergeCell ref="A21:O21"/>
    <mergeCell ref="B15:C15"/>
    <mergeCell ref="B18:C18"/>
    <mergeCell ref="D13:D14"/>
    <mergeCell ref="E13:F13"/>
    <mergeCell ref="A13:A14"/>
    <mergeCell ref="H16:I16"/>
    <mergeCell ref="H13:I14"/>
    <mergeCell ref="J13:J14"/>
    <mergeCell ref="C41:O43"/>
    <mergeCell ref="N17:O17"/>
    <mergeCell ref="C37:O39"/>
    <mergeCell ref="B17:C17"/>
    <mergeCell ref="M13:M14"/>
    <mergeCell ref="K16:L16"/>
    <mergeCell ref="E18:O18"/>
    <mergeCell ref="A25:O26"/>
    <mergeCell ref="Z3:AC3"/>
    <mergeCell ref="L7:M7"/>
    <mergeCell ref="Z5:AC5"/>
    <mergeCell ref="N13:O14"/>
    <mergeCell ref="L5:M5"/>
    <mergeCell ref="N5:O5"/>
    <mergeCell ref="E15:F15"/>
    <mergeCell ref="H15:I15"/>
    <mergeCell ref="N7:O7"/>
  </mergeCells>
  <printOptions/>
  <pageMargins left="0.984251968503937" right="0.5905511811023623" top="0.5905511811023623"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96"/>
  <sheetViews>
    <sheetView zoomScalePageLayoutView="0" workbookViewId="0" topLeftCell="A1">
      <selection activeCell="N21" sqref="N21"/>
    </sheetView>
  </sheetViews>
  <sheetFormatPr defaultColWidth="5.77734375" defaultRowHeight="15" customHeight="1"/>
  <cols>
    <col min="1" max="1" width="5.77734375" style="3" customWidth="1"/>
    <col min="2" max="5" width="6.77734375" style="3" customWidth="1"/>
    <col min="6" max="7" width="6.10546875" style="3" customWidth="1"/>
    <col min="8" max="8" width="5.77734375" style="3" customWidth="1"/>
    <col min="9" max="12" width="6.77734375" style="3" customWidth="1"/>
    <col min="13" max="13" width="5.77734375" style="3" customWidth="1"/>
    <col min="14" max="14" width="7.6640625" style="3" bestFit="1" customWidth="1"/>
    <col min="15" max="15" width="6.88671875" style="3" bestFit="1" customWidth="1"/>
    <col min="16" max="17" width="6.77734375" style="3" bestFit="1" customWidth="1"/>
    <col min="18" max="16384" width="5.77734375" style="3" customWidth="1"/>
  </cols>
  <sheetData>
    <row r="1" spans="1:11" ht="15" customHeight="1">
      <c r="A1" s="92" t="s">
        <v>677</v>
      </c>
      <c r="I1" s="76" t="s">
        <v>38</v>
      </c>
      <c r="J1" s="820">
        <f>+'報告書'!K1</f>
        <v>45474</v>
      </c>
      <c r="K1" s="638"/>
    </row>
    <row r="2" spans="1:11" ht="15" customHeight="1">
      <c r="A2" s="3" t="s">
        <v>106</v>
      </c>
      <c r="E2" s="303"/>
      <c r="H2" s="1003">
        <f>IF('補強計画表紙'!I5="","",'補強計画表紙'!I5)</f>
      </c>
      <c r="I2" s="1004"/>
      <c r="J2" s="1004"/>
      <c r="K2" s="1005"/>
    </row>
    <row r="3" spans="1:15" ht="15" customHeight="1">
      <c r="A3" s="936" t="s">
        <v>743</v>
      </c>
      <c r="B3" s="937"/>
      <c r="C3" s="937"/>
      <c r="D3" s="937"/>
      <c r="E3" s="937"/>
      <c r="F3" s="937"/>
      <c r="G3" s="937"/>
      <c r="H3" s="937"/>
      <c r="I3" s="937"/>
      <c r="J3" s="937"/>
      <c r="K3" s="937"/>
      <c r="L3" s="82"/>
      <c r="M3" s="82"/>
      <c r="O3" s="3" t="s">
        <v>110</v>
      </c>
    </row>
    <row r="4" spans="1:13" ht="15" customHeight="1">
      <c r="A4" s="938" t="s">
        <v>742</v>
      </c>
      <c r="B4" s="939"/>
      <c r="C4" s="939"/>
      <c r="D4" s="939"/>
      <c r="E4" s="939"/>
      <c r="F4" s="939"/>
      <c r="G4" s="939"/>
      <c r="H4" s="939"/>
      <c r="I4" s="939"/>
      <c r="J4" s="939"/>
      <c r="K4" s="939"/>
      <c r="L4" s="82"/>
      <c r="M4" s="82"/>
    </row>
    <row r="5" spans="1:13" ht="15" customHeight="1">
      <c r="A5" s="939"/>
      <c r="B5" s="939"/>
      <c r="C5" s="939"/>
      <c r="D5" s="939"/>
      <c r="E5" s="939"/>
      <c r="F5" s="939"/>
      <c r="G5" s="939"/>
      <c r="H5" s="939"/>
      <c r="I5" s="939"/>
      <c r="J5" s="939"/>
      <c r="K5" s="939"/>
      <c r="L5" s="82"/>
      <c r="M5" s="82"/>
    </row>
    <row r="6" spans="1:16" ht="15" customHeight="1">
      <c r="A6" s="813" t="s">
        <v>642</v>
      </c>
      <c r="B6" s="814"/>
      <c r="C6" s="814"/>
      <c r="D6" s="815"/>
      <c r="E6" s="381" t="s">
        <v>680</v>
      </c>
      <c r="F6" s="818" t="s">
        <v>527</v>
      </c>
      <c r="G6" s="816" t="s">
        <v>737</v>
      </c>
      <c r="H6" s="816" t="s">
        <v>629</v>
      </c>
      <c r="I6" s="816" t="s">
        <v>628</v>
      </c>
      <c r="J6" s="816" t="s">
        <v>623</v>
      </c>
      <c r="K6" s="825" t="s">
        <v>622</v>
      </c>
      <c r="L6" s="82"/>
      <c r="M6" s="82"/>
      <c r="O6" s="393">
        <v>1</v>
      </c>
      <c r="P6" s="3" t="s">
        <v>469</v>
      </c>
    </row>
    <row r="7" spans="1:13" ht="15" customHeight="1">
      <c r="A7" s="395"/>
      <c r="B7" s="688" t="s">
        <v>245</v>
      </c>
      <c r="C7" s="689"/>
      <c r="D7" s="690"/>
      <c r="E7" s="382" t="s">
        <v>357</v>
      </c>
      <c r="F7" s="819"/>
      <c r="G7" s="817"/>
      <c r="H7" s="817"/>
      <c r="I7" s="817"/>
      <c r="J7" s="817"/>
      <c r="K7" s="826"/>
      <c r="L7" s="82"/>
      <c r="M7" s="82"/>
    </row>
    <row r="8" spans="1:16" ht="15" customHeight="1">
      <c r="A8" s="394"/>
      <c r="B8" s="1023"/>
      <c r="C8" s="1024"/>
      <c r="D8" s="1025"/>
      <c r="E8" s="314" t="s">
        <v>528</v>
      </c>
      <c r="F8" s="367"/>
      <c r="H8" s="248"/>
      <c r="I8" s="248"/>
      <c r="J8" s="364">
        <f>+IF(H8="","",IF(I8=0,0,IF(H8/B18&lt;=1/8,0,H8*MIN(1,I8/2.1))))</f>
      </c>
      <c r="K8" s="319">
        <f>+IF(B18="","",IF(J8="",B18,B18+J8))</f>
      </c>
      <c r="L8" s="82"/>
      <c r="M8" s="82"/>
      <c r="O8" s="117"/>
      <c r="P8" s="71" t="s">
        <v>393</v>
      </c>
    </row>
    <row r="9" spans="1:13" ht="15" customHeight="1">
      <c r="A9" s="679" t="s">
        <v>643</v>
      </c>
      <c r="B9" s="680"/>
      <c r="C9" s="481"/>
      <c r="D9" s="21" t="s">
        <v>39</v>
      </c>
      <c r="E9" s="320" t="s">
        <v>529</v>
      </c>
      <c r="F9" s="368"/>
      <c r="G9" s="398">
        <f>IF(F9="","",+H118)</f>
      </c>
      <c r="H9" s="248"/>
      <c r="I9" s="248"/>
      <c r="J9" s="365">
        <f>+IF(B20=0,"",IF(H9="","",IF(I9=0,0,IF(H9/B20&lt;=1/8,0,H9*MIN(1,I9/2.1)))))</f>
      </c>
      <c r="K9" s="324">
        <f>+IF(B20="","",IF(J9="",B20,B20+J9))</f>
      </c>
      <c r="L9" s="82"/>
      <c r="M9" s="82"/>
    </row>
    <row r="10" spans="1:13" ht="15" customHeight="1">
      <c r="A10" s="66"/>
      <c r="B10" s="688" t="s">
        <v>40</v>
      </c>
      <c r="C10" s="690"/>
      <c r="D10" s="155">
        <f>+IF(O8=0,"",IF(O8=1,1,0.9))</f>
      </c>
      <c r="E10" s="325" t="s">
        <v>530</v>
      </c>
      <c r="F10" s="369"/>
      <c r="G10" s="399">
        <f>IF(F9="","",+H119)</f>
      </c>
      <c r="H10" s="199"/>
      <c r="I10" s="199"/>
      <c r="J10" s="366">
        <f>+IF(B22=0,"",IF(H10="","",IF(I10=0,0,IF(H10/B22&lt;=1/8,0,H10*MIN(1,I10/2.1)))))</f>
      </c>
      <c r="K10" s="330">
        <f>+IF(B22="","",IF(J10="",B22,B22+J10))</f>
      </c>
      <c r="L10" s="82"/>
      <c r="M10" s="82"/>
    </row>
    <row r="11" spans="1:13" ht="15" customHeight="1">
      <c r="A11" s="292"/>
      <c r="B11" s="583" t="s">
        <v>41</v>
      </c>
      <c r="C11" s="495"/>
      <c r="D11" s="156"/>
      <c r="F11" s="484" t="s">
        <v>649</v>
      </c>
      <c r="G11" s="850"/>
      <c r="H11" s="850"/>
      <c r="I11" s="850"/>
      <c r="J11" s="850"/>
      <c r="K11" s="850"/>
      <c r="L11" s="82"/>
      <c r="M11" s="82"/>
    </row>
    <row r="12" spans="2:13" ht="15" customHeight="1">
      <c r="B12" s="406"/>
      <c r="C12" s="208"/>
      <c r="D12" s="208"/>
      <c r="E12" s="405"/>
      <c r="F12" s="405"/>
      <c r="G12" s="405"/>
      <c r="H12" s="405"/>
      <c r="I12" s="405"/>
      <c r="J12" s="405"/>
      <c r="K12" s="405"/>
      <c r="L12" s="82"/>
      <c r="M12" s="82"/>
    </row>
    <row r="13" spans="1:16" ht="15" customHeight="1">
      <c r="A13" s="679" t="s">
        <v>644</v>
      </c>
      <c r="B13" s="1028"/>
      <c r="C13" s="39"/>
      <c r="D13" s="1027" t="s">
        <v>215</v>
      </c>
      <c r="E13" s="481"/>
      <c r="F13" s="39"/>
      <c r="G13" s="1027" t="s">
        <v>216</v>
      </c>
      <c r="H13" s="1028"/>
      <c r="I13" s="39"/>
      <c r="J13" s="1026" t="s">
        <v>217</v>
      </c>
      <c r="K13" s="498"/>
      <c r="L13" s="80"/>
      <c r="M13" s="82"/>
      <c r="O13" s="117"/>
      <c r="P13" s="3" t="s">
        <v>306</v>
      </c>
    </row>
    <row r="14" spans="1:14" ht="15" customHeight="1">
      <c r="A14" s="71" t="s">
        <v>723</v>
      </c>
      <c r="B14" s="71"/>
      <c r="C14" s="71"/>
      <c r="D14" s="71"/>
      <c r="E14" s="71"/>
      <c r="G14" s="71"/>
      <c r="H14" s="275"/>
      <c r="I14" s="275"/>
      <c r="J14" s="275"/>
      <c r="K14" s="275"/>
      <c r="L14" s="82"/>
      <c r="M14" s="82"/>
      <c r="N14" s="72" t="s">
        <v>725</v>
      </c>
    </row>
    <row r="15" spans="1:14" ht="15" customHeight="1">
      <c r="A15" s="300" t="s">
        <v>645</v>
      </c>
      <c r="B15" s="946" t="s">
        <v>312</v>
      </c>
      <c r="C15" s="279"/>
      <c r="D15" s="919" t="s">
        <v>400</v>
      </c>
      <c r="E15" s="913" t="s">
        <v>402</v>
      </c>
      <c r="F15" s="914"/>
      <c r="G15" s="919" t="s">
        <v>403</v>
      </c>
      <c r="H15" s="913" t="s">
        <v>444</v>
      </c>
      <c r="I15" s="914"/>
      <c r="J15" s="919" t="s">
        <v>311</v>
      </c>
      <c r="K15" s="280" t="s">
        <v>309</v>
      </c>
      <c r="L15" s="50"/>
      <c r="M15" s="82"/>
      <c r="N15" s="186"/>
    </row>
    <row r="16" spans="1:14" ht="15" customHeight="1">
      <c r="A16" s="911" t="s">
        <v>357</v>
      </c>
      <c r="B16" s="947"/>
      <c r="C16" s="281"/>
      <c r="D16" s="947"/>
      <c r="E16" s="949"/>
      <c r="F16" s="916"/>
      <c r="G16" s="920"/>
      <c r="H16" s="915"/>
      <c r="I16" s="916"/>
      <c r="J16" s="920"/>
      <c r="K16" s="944" t="s">
        <v>412</v>
      </c>
      <c r="L16" s="50"/>
      <c r="M16" s="82"/>
      <c r="N16" s="3" t="s">
        <v>481</v>
      </c>
    </row>
    <row r="17" spans="1:13" ht="15" customHeight="1">
      <c r="A17" s="912"/>
      <c r="B17" s="948"/>
      <c r="C17" s="282" t="s">
        <v>107</v>
      </c>
      <c r="D17" s="282" t="s">
        <v>401</v>
      </c>
      <c r="E17" s="950"/>
      <c r="F17" s="918"/>
      <c r="G17" s="921"/>
      <c r="H17" s="917"/>
      <c r="I17" s="918"/>
      <c r="J17" s="921"/>
      <c r="K17" s="945"/>
      <c r="L17" s="50"/>
      <c r="M17" s="82"/>
    </row>
    <row r="18" spans="1:14" ht="15" customHeight="1">
      <c r="A18" s="794">
        <v>3</v>
      </c>
      <c r="B18" s="797"/>
      <c r="C18" s="170" t="s">
        <v>42</v>
      </c>
      <c r="D18" s="248"/>
      <c r="E18" s="884"/>
      <c r="F18" s="885"/>
      <c r="G18" s="272">
        <f>IF(D18="","",G23)</f>
      </c>
      <c r="H18" s="876">
        <f aca="true" t="shared" si="0" ref="H18:H23">+J149</f>
      </c>
      <c r="I18" s="877"/>
      <c r="J18" s="835">
        <f>+K143</f>
      </c>
      <c r="K18" s="358">
        <f aca="true" t="shared" si="1" ref="K18:K23">+K149</f>
      </c>
      <c r="L18" s="167"/>
      <c r="M18" s="82"/>
      <c r="N18" s="3" t="s">
        <v>15</v>
      </c>
    </row>
    <row r="19" spans="1:13" ht="15" customHeight="1">
      <c r="A19" s="795"/>
      <c r="B19" s="798"/>
      <c r="C19" s="161" t="s">
        <v>43</v>
      </c>
      <c r="D19" s="247"/>
      <c r="E19" s="829"/>
      <c r="F19" s="830"/>
      <c r="G19" s="273">
        <f>IF(D19="","",G23)</f>
      </c>
      <c r="H19" s="791">
        <f t="shared" si="0"/>
      </c>
      <c r="I19" s="792"/>
      <c r="J19" s="836"/>
      <c r="K19" s="358">
        <f t="shared" si="1"/>
      </c>
      <c r="L19" s="167"/>
      <c r="M19" s="82"/>
    </row>
    <row r="20" spans="1:13" ht="15" customHeight="1">
      <c r="A20" s="852">
        <v>2</v>
      </c>
      <c r="B20" s="855"/>
      <c r="C20" s="161" t="s">
        <v>42</v>
      </c>
      <c r="D20" s="247"/>
      <c r="E20" s="829"/>
      <c r="F20" s="830"/>
      <c r="G20" s="273">
        <f>IF(D20="","",G23)</f>
      </c>
      <c r="H20" s="791">
        <f t="shared" si="0"/>
      </c>
      <c r="I20" s="792"/>
      <c r="J20" s="837">
        <f>+K144</f>
      </c>
      <c r="K20" s="358">
        <f t="shared" si="1"/>
      </c>
      <c r="L20" s="167"/>
      <c r="M20" s="82"/>
    </row>
    <row r="21" spans="1:13" ht="15" customHeight="1">
      <c r="A21" s="854"/>
      <c r="B21" s="798"/>
      <c r="C21" s="161" t="s">
        <v>43</v>
      </c>
      <c r="D21" s="247"/>
      <c r="E21" s="829"/>
      <c r="F21" s="830"/>
      <c r="G21" s="273">
        <f>IF(D21="","",G23)</f>
      </c>
      <c r="H21" s="791">
        <f t="shared" si="0"/>
      </c>
      <c r="I21" s="792"/>
      <c r="J21" s="838"/>
      <c r="K21" s="358">
        <f t="shared" si="1"/>
      </c>
      <c r="L21" s="167"/>
      <c r="M21" s="82"/>
    </row>
    <row r="22" spans="1:13" ht="15" customHeight="1">
      <c r="A22" s="852">
        <v>1</v>
      </c>
      <c r="B22" s="855"/>
      <c r="C22" s="161" t="s">
        <v>42</v>
      </c>
      <c r="D22" s="247"/>
      <c r="E22" s="829"/>
      <c r="F22" s="830"/>
      <c r="G22" s="273">
        <f>IF(G23="","",G23)</f>
        <v>1</v>
      </c>
      <c r="H22" s="791">
        <f t="shared" si="0"/>
      </c>
      <c r="I22" s="792"/>
      <c r="J22" s="837">
        <f>+K145</f>
      </c>
      <c r="K22" s="358">
        <f t="shared" si="1"/>
      </c>
      <c r="L22" s="167"/>
      <c r="M22" s="82"/>
    </row>
    <row r="23" spans="1:12" ht="15" customHeight="1">
      <c r="A23" s="853"/>
      <c r="B23" s="856"/>
      <c r="C23" s="163" t="s">
        <v>43</v>
      </c>
      <c r="D23" s="199"/>
      <c r="E23" s="834"/>
      <c r="F23" s="426"/>
      <c r="G23" s="274">
        <v>1</v>
      </c>
      <c r="H23" s="861">
        <f t="shared" si="0"/>
      </c>
      <c r="I23" s="862"/>
      <c r="J23" s="882"/>
      <c r="K23" s="359">
        <f t="shared" si="1"/>
      </c>
      <c r="L23" s="167"/>
    </row>
    <row r="24" spans="8:12" ht="15" customHeight="1">
      <c r="H24" s="1029" t="s">
        <v>707</v>
      </c>
      <c r="I24" s="689"/>
      <c r="J24" s="689"/>
      <c r="K24" s="82">
        <f>IF(O6=0,"",IF(O6=1,MIN(K22,K23),MIN(K20,K21)))</f>
        <v>0</v>
      </c>
      <c r="L24" s="82"/>
    </row>
    <row r="25" spans="6:13" ht="15" customHeight="1">
      <c r="F25" s="91"/>
      <c r="H25" s="82"/>
      <c r="I25" s="82"/>
      <c r="J25" s="82"/>
      <c r="K25" s="82"/>
      <c r="L25" s="82"/>
      <c r="M25" s="82"/>
    </row>
    <row r="26" spans="1:16" ht="15" customHeight="1">
      <c r="A26" s="679" t="s">
        <v>646</v>
      </c>
      <c r="B26" s="1028"/>
      <c r="C26" s="39"/>
      <c r="D26" s="1027" t="s">
        <v>215</v>
      </c>
      <c r="E26" s="481"/>
      <c r="F26" s="39"/>
      <c r="G26" s="1027" t="s">
        <v>216</v>
      </c>
      <c r="H26" s="1028"/>
      <c r="I26" s="39"/>
      <c r="J26" s="1026" t="s">
        <v>217</v>
      </c>
      <c r="K26" s="498"/>
      <c r="L26" s="82"/>
      <c r="M26" s="82"/>
      <c r="O26" s="393">
        <f>O13</f>
        <v>0</v>
      </c>
      <c r="P26" s="3" t="s">
        <v>306</v>
      </c>
    </row>
    <row r="27" spans="1:14" ht="15" customHeight="1">
      <c r="A27" s="71" t="s">
        <v>679</v>
      </c>
      <c r="B27" s="71"/>
      <c r="C27" s="71"/>
      <c r="D27" s="71"/>
      <c r="E27" s="71"/>
      <c r="F27" s="97"/>
      <c r="G27" s="71"/>
      <c r="H27" s="275"/>
      <c r="I27" s="275"/>
      <c r="J27" s="275"/>
      <c r="K27" s="275"/>
      <c r="L27" s="82"/>
      <c r="M27" s="82"/>
      <c r="N27" s="72" t="s">
        <v>725</v>
      </c>
    </row>
    <row r="28" spans="1:14" ht="15" customHeight="1">
      <c r="A28" s="300" t="s">
        <v>647</v>
      </c>
      <c r="B28" s="946" t="s">
        <v>312</v>
      </c>
      <c r="C28" s="279"/>
      <c r="D28" s="919" t="s">
        <v>400</v>
      </c>
      <c r="E28" s="913" t="s">
        <v>402</v>
      </c>
      <c r="F28" s="914"/>
      <c r="G28" s="919" t="s">
        <v>403</v>
      </c>
      <c r="H28" s="913" t="s">
        <v>444</v>
      </c>
      <c r="I28" s="914"/>
      <c r="J28" s="919" t="s">
        <v>311</v>
      </c>
      <c r="K28" s="280" t="s">
        <v>309</v>
      </c>
      <c r="L28" s="50"/>
      <c r="M28" s="82"/>
      <c r="N28" s="186"/>
    </row>
    <row r="29" spans="1:14" ht="15" customHeight="1">
      <c r="A29" s="911" t="s">
        <v>357</v>
      </c>
      <c r="B29" s="947"/>
      <c r="C29" s="281"/>
      <c r="D29" s="947"/>
      <c r="E29" s="949"/>
      <c r="F29" s="916"/>
      <c r="G29" s="920"/>
      <c r="H29" s="915"/>
      <c r="I29" s="916"/>
      <c r="J29" s="920"/>
      <c r="K29" s="944" t="s">
        <v>412</v>
      </c>
      <c r="L29" s="50"/>
      <c r="M29" s="82"/>
      <c r="N29" s="3" t="s">
        <v>481</v>
      </c>
    </row>
    <row r="30" spans="1:13" ht="15" customHeight="1">
      <c r="A30" s="912"/>
      <c r="B30" s="948"/>
      <c r="C30" s="282" t="s">
        <v>107</v>
      </c>
      <c r="D30" s="282" t="s">
        <v>401</v>
      </c>
      <c r="E30" s="950"/>
      <c r="F30" s="918"/>
      <c r="G30" s="921"/>
      <c r="H30" s="917"/>
      <c r="I30" s="918"/>
      <c r="J30" s="921"/>
      <c r="K30" s="945"/>
      <c r="L30" s="50"/>
      <c r="M30" s="82"/>
    </row>
    <row r="31" spans="1:14" ht="15" customHeight="1">
      <c r="A31" s="794">
        <v>3</v>
      </c>
      <c r="B31" s="1022">
        <f>+IF(B18="","",B18)</f>
      </c>
      <c r="C31" s="170" t="s">
        <v>42</v>
      </c>
      <c r="D31" s="248"/>
      <c r="E31" s="884"/>
      <c r="F31" s="885"/>
      <c r="G31" s="272">
        <f>IF(D31="","",G36)</f>
      </c>
      <c r="H31" s="876">
        <f aca="true" t="shared" si="2" ref="H31:H36">+J191</f>
      </c>
      <c r="I31" s="877"/>
      <c r="J31" s="835">
        <f>+K185</f>
      </c>
      <c r="K31" s="358">
        <f aca="true" t="shared" si="3" ref="K31:K36">+K191</f>
      </c>
      <c r="L31" s="167"/>
      <c r="M31" s="82"/>
      <c r="N31" s="3" t="s">
        <v>15</v>
      </c>
    </row>
    <row r="32" spans="1:13" ht="15" customHeight="1">
      <c r="A32" s="795"/>
      <c r="B32" s="1021"/>
      <c r="C32" s="161" t="s">
        <v>43</v>
      </c>
      <c r="D32" s="247"/>
      <c r="E32" s="829"/>
      <c r="F32" s="830"/>
      <c r="G32" s="273">
        <f>IF(D32="","",G36)</f>
      </c>
      <c r="H32" s="791">
        <f t="shared" si="2"/>
      </c>
      <c r="I32" s="792"/>
      <c r="J32" s="836"/>
      <c r="K32" s="358">
        <f t="shared" si="3"/>
      </c>
      <c r="L32" s="167"/>
      <c r="M32" s="82"/>
    </row>
    <row r="33" spans="1:14" ht="15" customHeight="1">
      <c r="A33" s="852">
        <v>2</v>
      </c>
      <c r="B33" s="1019">
        <f>+IF(B20="","",B20)</f>
      </c>
      <c r="C33" s="161" t="s">
        <v>42</v>
      </c>
      <c r="D33" s="247"/>
      <c r="E33" s="829"/>
      <c r="F33" s="830"/>
      <c r="G33" s="273">
        <f>IF(D33="","",G36)</f>
      </c>
      <c r="H33" s="791">
        <f t="shared" si="2"/>
      </c>
      <c r="I33" s="792"/>
      <c r="J33" s="837">
        <f>+K186</f>
      </c>
      <c r="K33" s="358">
        <f t="shared" si="3"/>
      </c>
      <c r="L33" s="167"/>
      <c r="M33" s="82"/>
      <c r="N33" s="3" t="s">
        <v>729</v>
      </c>
    </row>
    <row r="34" spans="1:13" ht="15" customHeight="1">
      <c r="A34" s="854"/>
      <c r="B34" s="1021"/>
      <c r="C34" s="161" t="s">
        <v>43</v>
      </c>
      <c r="D34" s="247"/>
      <c r="E34" s="829"/>
      <c r="F34" s="830"/>
      <c r="G34" s="273">
        <f>IF(D34="","",G36)</f>
      </c>
      <c r="H34" s="791">
        <f t="shared" si="2"/>
      </c>
      <c r="I34" s="792"/>
      <c r="J34" s="838"/>
      <c r="K34" s="358">
        <f t="shared" si="3"/>
      </c>
      <c r="L34" s="167"/>
      <c r="M34" s="82"/>
    </row>
    <row r="35" spans="1:13" ht="15" customHeight="1">
      <c r="A35" s="852">
        <v>1</v>
      </c>
      <c r="B35" s="1019">
        <f>IF(B22="","",+B22)</f>
      </c>
      <c r="C35" s="161" t="s">
        <v>42</v>
      </c>
      <c r="D35" s="247"/>
      <c r="E35" s="829"/>
      <c r="F35" s="830"/>
      <c r="G35" s="273">
        <f>IF(G36="","",G36)</f>
        <v>1</v>
      </c>
      <c r="H35" s="791">
        <f t="shared" si="2"/>
      </c>
      <c r="I35" s="792"/>
      <c r="J35" s="837">
        <f>+K187</f>
      </c>
      <c r="K35" s="358">
        <f t="shared" si="3"/>
      </c>
      <c r="L35" s="167"/>
      <c r="M35" s="82"/>
    </row>
    <row r="36" spans="1:12" ht="15" customHeight="1">
      <c r="A36" s="853"/>
      <c r="B36" s="1020"/>
      <c r="C36" s="163" t="s">
        <v>43</v>
      </c>
      <c r="D36" s="199"/>
      <c r="E36" s="834"/>
      <c r="F36" s="426"/>
      <c r="G36" s="274">
        <v>1</v>
      </c>
      <c r="H36" s="861">
        <f t="shared" si="2"/>
      </c>
      <c r="I36" s="862"/>
      <c r="J36" s="882"/>
      <c r="K36" s="359">
        <f t="shared" si="3"/>
      </c>
      <c r="L36" s="167"/>
    </row>
    <row r="37" spans="6:13" ht="15" customHeight="1">
      <c r="F37" s="218"/>
      <c r="G37" s="93"/>
      <c r="H37" s="1029" t="s">
        <v>707</v>
      </c>
      <c r="I37" s="689"/>
      <c r="J37" s="689"/>
      <c r="K37" s="82">
        <f>IF(O6=0,"",IF(O6=1,MIN(K35,K36),MIN(K33,K34)))</f>
        <v>0</v>
      </c>
      <c r="L37" s="82"/>
      <c r="M37" s="82"/>
    </row>
    <row r="38" spans="6:13" ht="15" customHeight="1">
      <c r="F38" s="218"/>
      <c r="G38" s="93"/>
      <c r="H38" s="82"/>
      <c r="I38" s="82"/>
      <c r="J38" s="82"/>
      <c r="K38" s="82"/>
      <c r="L38" s="82"/>
      <c r="M38" s="82"/>
    </row>
    <row r="39" spans="1:14" ht="15" customHeight="1">
      <c r="A39" s="1035" t="s">
        <v>667</v>
      </c>
      <c r="B39" s="1038"/>
      <c r="C39" s="1039"/>
      <c r="D39" s="1039"/>
      <c r="E39" s="1039"/>
      <c r="F39" s="1039"/>
      <c r="G39" s="1039"/>
      <c r="H39" s="1039"/>
      <c r="I39" s="1039"/>
      <c r="J39" s="1039"/>
      <c r="K39" s="1040"/>
      <c r="L39" s="82"/>
      <c r="M39" s="82"/>
      <c r="N39" s="380" t="s">
        <v>697</v>
      </c>
    </row>
    <row r="40" spans="1:14" ht="15" customHeight="1">
      <c r="A40" s="1036"/>
      <c r="B40" s="1030"/>
      <c r="C40" s="966"/>
      <c r="D40" s="966"/>
      <c r="E40" s="966"/>
      <c r="F40" s="966"/>
      <c r="G40" s="966"/>
      <c r="H40" s="966"/>
      <c r="I40" s="966"/>
      <c r="J40" s="966"/>
      <c r="K40" s="1031"/>
      <c r="L40" s="82"/>
      <c r="M40" s="82"/>
      <c r="N40" s="380" t="s">
        <v>698</v>
      </c>
    </row>
    <row r="41" spans="1:14" ht="15" customHeight="1">
      <c r="A41" s="1036"/>
      <c r="B41" s="1030"/>
      <c r="C41" s="966"/>
      <c r="D41" s="966"/>
      <c r="E41" s="966"/>
      <c r="F41" s="966"/>
      <c r="G41" s="966"/>
      <c r="H41" s="966"/>
      <c r="I41" s="966"/>
      <c r="J41" s="966"/>
      <c r="K41" s="1031"/>
      <c r="L41" s="82"/>
      <c r="M41" s="82"/>
      <c r="N41" s="380" t="s">
        <v>696</v>
      </c>
    </row>
    <row r="42" spans="1:14" ht="15" customHeight="1">
      <c r="A42" s="1036"/>
      <c r="B42" s="1030"/>
      <c r="C42" s="966"/>
      <c r="D42" s="966"/>
      <c r="E42" s="966"/>
      <c r="F42" s="966"/>
      <c r="G42" s="966"/>
      <c r="H42" s="966"/>
      <c r="I42" s="966"/>
      <c r="J42" s="966"/>
      <c r="K42" s="1031"/>
      <c r="L42" s="82"/>
      <c r="M42" s="82"/>
      <c r="N42" s="380" t="s">
        <v>699</v>
      </c>
    </row>
    <row r="43" spans="1:14" ht="15" customHeight="1">
      <c r="A43" s="1036"/>
      <c r="B43" s="1030"/>
      <c r="C43" s="966"/>
      <c r="D43" s="966"/>
      <c r="E43" s="966"/>
      <c r="F43" s="966"/>
      <c r="G43" s="966"/>
      <c r="H43" s="966"/>
      <c r="I43" s="966"/>
      <c r="J43" s="966"/>
      <c r="K43" s="1031"/>
      <c r="L43" s="82"/>
      <c r="M43" s="82"/>
      <c r="N43" s="380" t="s">
        <v>700</v>
      </c>
    </row>
    <row r="44" spans="1:14" ht="15" customHeight="1">
      <c r="A44" s="1036"/>
      <c r="B44" s="1030"/>
      <c r="C44" s="966"/>
      <c r="D44" s="966"/>
      <c r="E44" s="966"/>
      <c r="F44" s="966"/>
      <c r="G44" s="966"/>
      <c r="H44" s="966"/>
      <c r="I44" s="966"/>
      <c r="J44" s="966"/>
      <c r="K44" s="1031"/>
      <c r="L44" s="82"/>
      <c r="M44" s="82"/>
      <c r="N44" s="380" t="s">
        <v>701</v>
      </c>
    </row>
    <row r="45" spans="1:14" ht="15" customHeight="1">
      <c r="A45" s="1036"/>
      <c r="B45" s="1030"/>
      <c r="C45" s="966"/>
      <c r="D45" s="966"/>
      <c r="E45" s="966"/>
      <c r="F45" s="966"/>
      <c r="G45" s="966"/>
      <c r="H45" s="966"/>
      <c r="I45" s="966"/>
      <c r="J45" s="966"/>
      <c r="K45" s="1031"/>
      <c r="L45" s="82"/>
      <c r="M45" s="82"/>
      <c r="N45" s="380"/>
    </row>
    <row r="46" spans="1:14" ht="15" customHeight="1">
      <c r="A46" s="1036"/>
      <c r="B46" s="1030"/>
      <c r="C46" s="966"/>
      <c r="D46" s="966"/>
      <c r="E46" s="966"/>
      <c r="F46" s="966"/>
      <c r="G46" s="966"/>
      <c r="H46" s="966"/>
      <c r="I46" s="966"/>
      <c r="J46" s="966"/>
      <c r="K46" s="1031"/>
      <c r="L46" s="82"/>
      <c r="M46" s="82"/>
      <c r="N46" s="380" t="s">
        <v>702</v>
      </c>
    </row>
    <row r="47" spans="1:14" ht="15" customHeight="1">
      <c r="A47" s="1036"/>
      <c r="B47" s="1030"/>
      <c r="C47" s="966"/>
      <c r="D47" s="966"/>
      <c r="E47" s="966"/>
      <c r="F47" s="966"/>
      <c r="G47" s="966"/>
      <c r="H47" s="966"/>
      <c r="I47" s="966"/>
      <c r="J47" s="966"/>
      <c r="K47" s="1031"/>
      <c r="L47" s="82"/>
      <c r="M47" s="82"/>
      <c r="N47" s="380"/>
    </row>
    <row r="48" spans="1:14" ht="15" customHeight="1">
      <c r="A48" s="1037"/>
      <c r="B48" s="1032"/>
      <c r="C48" s="1033"/>
      <c r="D48" s="1033"/>
      <c r="E48" s="1033"/>
      <c r="F48" s="1033"/>
      <c r="G48" s="1033"/>
      <c r="H48" s="1033"/>
      <c r="I48" s="1033"/>
      <c r="J48" s="1033"/>
      <c r="K48" s="1034"/>
      <c r="L48" s="82"/>
      <c r="M48" s="82"/>
      <c r="N48" s="380"/>
    </row>
    <row r="49" spans="6:14" ht="15" customHeight="1">
      <c r="F49" s="218"/>
      <c r="G49" s="93"/>
      <c r="H49" s="82"/>
      <c r="I49" s="82"/>
      <c r="J49" s="82"/>
      <c r="K49" s="82"/>
      <c r="L49" s="82"/>
      <c r="M49" s="82"/>
      <c r="N49" s="380"/>
    </row>
    <row r="50" spans="5:14" ht="15" customHeight="1">
      <c r="E50" s="444" t="s">
        <v>678</v>
      </c>
      <c r="F50" s="993"/>
      <c r="G50" s="993"/>
      <c r="I50" s="82"/>
      <c r="J50" s="82"/>
      <c r="K50" s="82"/>
      <c r="L50" s="82"/>
      <c r="M50" s="82"/>
      <c r="N50" s="380"/>
    </row>
    <row r="51" spans="6:14" ht="15" customHeight="1">
      <c r="F51" s="218"/>
      <c r="G51" s="93"/>
      <c r="H51" s="82"/>
      <c r="I51" s="82"/>
      <c r="J51" s="82"/>
      <c r="K51" s="82"/>
      <c r="L51" s="82"/>
      <c r="M51" s="82"/>
      <c r="N51" s="380"/>
    </row>
    <row r="52" spans="2:14" ht="15" customHeight="1">
      <c r="B52" s="3" t="s">
        <v>399</v>
      </c>
      <c r="F52" s="218"/>
      <c r="G52" s="93"/>
      <c r="H52" s="82"/>
      <c r="I52" s="82"/>
      <c r="J52" s="82"/>
      <c r="K52" s="82"/>
      <c r="L52" s="82"/>
      <c r="M52" s="82"/>
      <c r="N52" s="380"/>
    </row>
    <row r="53" spans="6:13" ht="15" customHeight="1">
      <c r="F53" s="218"/>
      <c r="G53" s="93"/>
      <c r="H53" s="82"/>
      <c r="I53" s="82"/>
      <c r="J53" s="82"/>
      <c r="K53" s="82"/>
      <c r="L53" s="82"/>
      <c r="M53" s="82"/>
    </row>
    <row r="54" ht="15" customHeight="1">
      <c r="A54" s="3" t="s">
        <v>291</v>
      </c>
    </row>
    <row r="56" spans="1:15" ht="15" customHeight="1">
      <c r="A56" s="3" t="s">
        <v>427</v>
      </c>
      <c r="N56" s="821" t="s">
        <v>426</v>
      </c>
      <c r="O56" s="821"/>
    </row>
    <row r="57" spans="2:17" ht="15" customHeight="1">
      <c r="B57" s="821" t="s">
        <v>292</v>
      </c>
      <c r="C57" s="821"/>
      <c r="D57" s="821" t="s">
        <v>293</v>
      </c>
      <c r="E57" s="821"/>
      <c r="F57" s="821" t="s">
        <v>426</v>
      </c>
      <c r="G57" s="821"/>
      <c r="H57" s="821" t="s">
        <v>294</v>
      </c>
      <c r="I57" s="821"/>
      <c r="J57" s="821" t="s">
        <v>431</v>
      </c>
      <c r="K57" s="821"/>
      <c r="N57" s="3">
        <v>2</v>
      </c>
      <c r="O57" s="3">
        <v>3</v>
      </c>
      <c r="P57" s="3">
        <v>5</v>
      </c>
      <c r="Q57" s="3">
        <v>7</v>
      </c>
    </row>
    <row r="58" spans="2:19" ht="15" customHeight="1">
      <c r="B58" s="952">
        <v>1</v>
      </c>
      <c r="C58" s="952"/>
      <c r="D58" s="952">
        <v>4</v>
      </c>
      <c r="E58" s="952"/>
      <c r="F58" s="953">
        <v>7</v>
      </c>
      <c r="G58" s="953"/>
      <c r="H58" s="956">
        <f>IF(F58="","",+S58)</f>
        <v>0.6</v>
      </c>
      <c r="I58" s="821"/>
      <c r="J58" s="956">
        <f>IF(F58="","",+MIN(10,F58)*H58)</f>
        <v>4.2</v>
      </c>
      <c r="K58" s="956"/>
      <c r="N58" s="270">
        <f>IF(B58=1,IF(D58=1,1,IF(D58=2,1,IF(D58=3,1,1))),IF(B58=2,IF(D58=1,1,IF(D58=2,1,IF(D58=3,1,1))),IF(B58=3,IF(D58=1,1,IF(D58=2,1,IF(D58=3,1,1))))))</f>
        <v>1</v>
      </c>
      <c r="O58" s="270">
        <f>IF(B58=1,IF(D58=1,1,IF(D58=2,1,IF(D58=3,0.8,0.8))),IF(B58=2,IF(D58=1,0.9,IF(D58=2,0.9,IF(D58=3,0.8,0.8))),IF(B58=3,IF(D58=1,0.8,IF(D58=2,0.8,IF(D58=3,0.8,0.8))))))</f>
        <v>0.8</v>
      </c>
      <c r="P58" s="270">
        <f>IF(B58=1,IF(D58=1,1,IF(D58=2,0.9,IF(D58=3,0.7,0.7))),IF(B58=2,IF(D58=1,0.85,IF(D58=2,0.8,IF(D58=3,0.7,0.7))),IF(B58=3,IF(D58=1,0.7,IF(D58=2,0.7,IF(D58=3,0.7,0.7))))))</f>
        <v>0.7</v>
      </c>
      <c r="Q58" s="270">
        <f>IF(B58=1,IF(D58=1,1,IF(D58=2,0.8,IF(D58=3,0.6,0.6))),IF(B58=2,IF(D58=1,0.8,IF(D58=2,0.7,IF(D58=3,0.6,0.6))),IF(B58=3,IF(D58=1,0.6,IF(D58=2,0.6,IF(D58=3,0.6,0.6))))))</f>
        <v>0.6</v>
      </c>
      <c r="S58" s="271">
        <f>IF(F58&lt;=2,N58,IF(F58&lt;=3,N58-(N58-O58)/1*(F58-2),IF(F58&lt;=5,O58-(O58-P58)/2*(F58-3),IF(F58&lt;=7,P58-(P58-Q58)/2*(F58-5),Q58))))</f>
        <v>0.6</v>
      </c>
    </row>
    <row r="59" spans="2:19" ht="15" customHeight="1">
      <c r="B59" s="952">
        <v>2</v>
      </c>
      <c r="C59" s="952"/>
      <c r="D59" s="952">
        <v>4</v>
      </c>
      <c r="E59" s="952"/>
      <c r="F59" s="953">
        <v>4.5</v>
      </c>
      <c r="G59" s="953"/>
      <c r="H59" s="956">
        <f>IF(F59="","",+S59)</f>
        <v>0.725</v>
      </c>
      <c r="I59" s="821"/>
      <c r="J59" s="956">
        <f>IF(F59="","",+MIN(10,F59)*H59)</f>
        <v>3.2624999999999997</v>
      </c>
      <c r="K59" s="956"/>
      <c r="N59" s="270">
        <f>IF(B59=1,IF(D59=1,1,IF(D59=2,1,IF(D59=3,1,1))),IF(B59=2,IF(D59=1,1,IF(D59=2,1,IF(D59=3,1,1))),IF(B59=3,IF(D59=1,1,IF(D59=2,1,IF(D59=3,1,1))))))</f>
        <v>1</v>
      </c>
      <c r="O59" s="270">
        <f>IF(B59=1,IF(D59=1,1,IF(D59=2,1,IF(D59=3,0.8,0.8))),IF(B59=2,IF(D59=1,0.9,IF(D59=2,0.9,IF(D59=3,0.8,0.8))),IF(B59=3,IF(D59=1,0.8,IF(D59=2,0.8,IF(D59=3,0.8,0.8))))))</f>
        <v>0.8</v>
      </c>
      <c r="P59" s="270">
        <f>IF(B59=1,IF(D59=1,1,IF(D59=2,0.9,IF(D59=3,0.7,0.7))),IF(B59=2,IF(D59=1,0.85,IF(D59=2,0.8,IF(D59=3,0.7,0.7))),IF(B59=3,IF(D59=1,0.7,IF(D59=2,0.7,IF(D59=3,0.7,0.7))))))</f>
        <v>0.7</v>
      </c>
      <c r="Q59" s="270">
        <f>IF(B59=1,IF(D59=1,1,IF(D59=2,0.8,IF(D59=3,0.6,0.6))),IF(B59=2,IF(D59=1,0.8,IF(D59=2,0.7,IF(D59=3,0.6,0.6))),IF(B59=3,IF(D59=1,0.6,IF(D59=2,0.6,IF(D59=3,0.6,0.6))))))</f>
        <v>0.6</v>
      </c>
      <c r="S59" s="271">
        <f>IF(F59&lt;=2,N59,IF(F59&lt;=3,N59-(N59-O59)/1*(F59-2),IF(F59&lt;=5,O59-(O59-P59)/2*(F59-3),IF(F59&lt;=7,P59-(P59-Q59)/2*(F59-5),Q59))))</f>
        <v>0.725</v>
      </c>
    </row>
    <row r="61" spans="1:15" ht="15" customHeight="1">
      <c r="A61" s="3" t="s">
        <v>428</v>
      </c>
      <c r="N61" s="821" t="s">
        <v>426</v>
      </c>
      <c r="O61" s="821"/>
    </row>
    <row r="62" spans="2:17" ht="15" customHeight="1">
      <c r="B62" s="821" t="s">
        <v>292</v>
      </c>
      <c r="C62" s="821"/>
      <c r="D62" s="821" t="s">
        <v>293</v>
      </c>
      <c r="E62" s="821"/>
      <c r="F62" s="821" t="s">
        <v>426</v>
      </c>
      <c r="G62" s="821"/>
      <c r="H62" s="821" t="s">
        <v>294</v>
      </c>
      <c r="I62" s="821"/>
      <c r="J62" s="821" t="s">
        <v>431</v>
      </c>
      <c r="K62" s="821"/>
      <c r="N62" s="3">
        <v>2</v>
      </c>
      <c r="O62" s="3">
        <v>3</v>
      </c>
      <c r="P62" s="3">
        <v>5</v>
      </c>
      <c r="Q62" s="3">
        <v>7</v>
      </c>
    </row>
    <row r="63" spans="2:19" ht="15" customHeight="1">
      <c r="B63" s="952">
        <v>2</v>
      </c>
      <c r="C63" s="952"/>
      <c r="D63" s="952">
        <v>2</v>
      </c>
      <c r="E63" s="952"/>
      <c r="F63" s="953">
        <v>9</v>
      </c>
      <c r="G63" s="953"/>
      <c r="H63" s="956">
        <f>IF(F63="","",+S63)</f>
        <v>0.7</v>
      </c>
      <c r="I63" s="821"/>
      <c r="J63" s="956">
        <f>IF(F63="","",+MIN(10,F63)*H63)</f>
        <v>6.3</v>
      </c>
      <c r="K63" s="956"/>
      <c r="N63" s="270">
        <f>IF(B63=1,IF(D63=1,1,IF(D63=2,1,IF(D63=3,1,0.7))),IF(B63=2,IF(D63=1,0.85,IF(D63=2,0.85,IF(D63=3,0.7,0.7))),IF(B63=3,IF(D63=1,0.7,IF(D63=2,0.7,IF(D63=3,0.7,0.7))))))</f>
        <v>0.85</v>
      </c>
      <c r="O63" s="270">
        <f>IF(B63=1,IF(D63=1,1,IF(D63=2,0.9,IF(D63=3,0.6,0.6))),IF(B63=2,IF(D63=1,0.85,IF(D63=2,0.75,IF(D63=3,0.6,0.6))),IF(B63=3,IF(D63=1,0.7,IF(D63=2,0.7,IF(D63=3,0.6,0.6))))))</f>
        <v>0.75</v>
      </c>
      <c r="P63" s="270">
        <f>IF(B63=1,IF(D63=1,1,IF(D63=2,0.85,IF(D63=3,0.5,0.5))),IF(B63=2,IF(D63=1,0.8,IF(D63=2,0.7,IF(D63=3,0.5,0.5))),IF(B63=3,IF(D63=1,0.7,IF(D63=2,0.65,IF(D63=3,0.5,0.5))))))</f>
        <v>0.7</v>
      </c>
      <c r="Q63" s="270">
        <f>IF(B63=1,IF(D63=1,1,IF(D63=2,0.8,IF(D63=3,0.3,0.3))),IF(B63=2,IF(D63=1,0.8,IF(D63=2,0.7,IF(D63=3,0.3,0.3))),IF(B63=3,IF(D63=1,0.7,IF(D63=2,0.6,IF(D63=3,0.3,0.3))))))</f>
        <v>0.7</v>
      </c>
      <c r="S63" s="271">
        <f>IF(F63&lt;=2,N63,IF(F63&lt;=3,N63-(N63-O63)/1*(F63-2),IF(F63&lt;=5,O63-(O63-P63)/2*(F63-3),IF(F63&lt;=7,P63-(P63-Q63)/2*(F63-5),Q63))))</f>
        <v>0.7</v>
      </c>
    </row>
    <row r="64" spans="2:19" ht="15" customHeight="1">
      <c r="B64" s="952"/>
      <c r="C64" s="952"/>
      <c r="D64" s="952"/>
      <c r="E64" s="952"/>
      <c r="F64" s="953"/>
      <c r="G64" s="953"/>
      <c r="H64" s="956">
        <f>IF(F64="","",+#REF!)</f>
      </c>
      <c r="I64" s="821"/>
      <c r="J64" s="956">
        <f>IF(F64="","",+MIN(10,F64)*H64)</f>
      </c>
      <c r="K64" s="956"/>
      <c r="N64" s="270" t="b">
        <f>IF(B64=1,IF(D64=1,1,IF(D64=2,1,IF(D64=3,1,0.7))),IF(B64=2,IF(D64=1,0.85,IF(D64=2,0.85,IF(D64=3,0.7,0.7))),IF(B64=3,IF(D64=1,0.7,IF(D64=2,0.7,IF(D64=3,0.7,0.7))))))</f>
        <v>0</v>
      </c>
      <c r="O64" s="270" t="b">
        <f>IF(B64=1,IF(D64=1,1,IF(D64=2,0.9,IF(D64=3,0.6,0.6))),IF(B64=2,IF(D64=1,0.85,IF(D64=2,0.75,IF(D64=3,0.6,0.6))),IF(B64=3,IF(D64=1,0.7,IF(D64=2,0.7,IF(D64=3,0.6,0.6))))))</f>
        <v>0</v>
      </c>
      <c r="P64" s="270" t="b">
        <f>IF(B64=1,IF(D64=1,1,IF(D64=2,0.85,IF(D64=3,0.5,0.5))),IF(B64=2,IF(D64=1,0.8,IF(D64=2,0.7,IF(D64=3,0.5,0.5))),IF(B64=3,IF(D64=1,0.7,IF(D64=2,0.65,IF(D64=3,0.5,0.5))))))</f>
        <v>0</v>
      </c>
      <c r="Q64" s="270" t="b">
        <f>IF(B64=1,IF(D64=1,1,IF(D64=2,0.8,IF(D64=3,0.3,0.3))),IF(B64=2,IF(D64=1,0.8,IF(D64=2,0.7,IF(D64=3,0.3,0.3))),IF(B64=3,IF(D64=1,0.7,IF(D64=2,0.6,IF(D64=3,0.3,0.3))))))</f>
        <v>0</v>
      </c>
      <c r="S64" s="271" t="b">
        <f>IF(F64&lt;=2,N64,IF(F64&lt;=3,N64-(N64-O64)/1*(F64-2),IF(F64&lt;=5,O64-(O64-P64)/2*(F64-3),IF(F64&lt;=7,P64-(P64-Q64)/2*(F64-5),Q64))))</f>
        <v>0</v>
      </c>
    </row>
    <row r="66" spans="1:15" ht="15" customHeight="1">
      <c r="A66" s="3" t="s">
        <v>429</v>
      </c>
      <c r="N66" s="821" t="s">
        <v>426</v>
      </c>
      <c r="O66" s="821"/>
    </row>
    <row r="67" spans="4:17" ht="15" customHeight="1">
      <c r="D67" s="821" t="s">
        <v>293</v>
      </c>
      <c r="E67" s="821"/>
      <c r="F67" s="821" t="s">
        <v>426</v>
      </c>
      <c r="G67" s="821"/>
      <c r="H67" s="821" t="s">
        <v>294</v>
      </c>
      <c r="I67" s="821"/>
      <c r="J67" s="821" t="s">
        <v>431</v>
      </c>
      <c r="K67" s="821"/>
      <c r="N67" s="3">
        <v>2</v>
      </c>
      <c r="O67" s="3">
        <v>3</v>
      </c>
      <c r="P67" s="3">
        <v>5</v>
      </c>
      <c r="Q67" s="3">
        <v>7</v>
      </c>
    </row>
    <row r="68" spans="4:19" ht="15" customHeight="1">
      <c r="D68" s="952">
        <v>4</v>
      </c>
      <c r="E68" s="952"/>
      <c r="F68" s="953">
        <v>2</v>
      </c>
      <c r="G68" s="953"/>
      <c r="H68" s="956">
        <f>IF(F68="","",+S68)</f>
        <v>0.7</v>
      </c>
      <c r="I68" s="821"/>
      <c r="J68" s="956">
        <f>IF(F68="","",+MIN(10,F68)*H68)</f>
        <v>1.4</v>
      </c>
      <c r="K68" s="956"/>
      <c r="N68" s="270">
        <f>IF(D68=1,1,IF(D68=2,1,IF(D68=3,0.7,0.7)))</f>
        <v>0.7</v>
      </c>
      <c r="O68" s="270">
        <f>IF(D68=1,1,IF(D68=2,0.8,IF(D68=3,0.6,0.35)))</f>
        <v>0.35</v>
      </c>
      <c r="P68" s="270">
        <f>IF(D68=1,1,IF(D68=2,0.65,IF(D68=3,0.45,0.25)))</f>
        <v>0.25</v>
      </c>
      <c r="Q68" s="270">
        <f>IF(D68=1,1,IF(D68=2,0.5,IF(D68=3,0.35,0.2)))</f>
        <v>0.2</v>
      </c>
      <c r="S68" s="270">
        <f>IF(F68&lt;=2,N68,IF(F68&lt;=3,N68-(N68-O68)/1*(F68-2),IF(F68&lt;=5,O68-(O68-P68)/2*(F68-3),IF(F68&lt;=7,P68-(P68-Q68)/2*(F68-5),Q68))))</f>
        <v>0.7</v>
      </c>
    </row>
    <row r="69" spans="4:19" ht="15" customHeight="1">
      <c r="D69" s="952">
        <v>4</v>
      </c>
      <c r="E69" s="952"/>
      <c r="F69" s="953">
        <v>2.4</v>
      </c>
      <c r="G69" s="953"/>
      <c r="H69" s="956">
        <f>IF(F69="","",+S69)</f>
        <v>0.56</v>
      </c>
      <c r="I69" s="821"/>
      <c r="J69" s="956">
        <f>IF(F69="","",+MIN(10,F69)*H69)</f>
        <v>1.344</v>
      </c>
      <c r="K69" s="956"/>
      <c r="N69" s="270">
        <f>IF(D69=1,1,IF(D69=2,1,IF(D69=3,0.7,0.7)))</f>
        <v>0.7</v>
      </c>
      <c r="O69" s="270">
        <f>IF(D69=1,1,IF(D69=2,0.8,IF(D69=3,0.6,0.35)))</f>
        <v>0.35</v>
      </c>
      <c r="P69" s="270">
        <f>IF(D69=1,1,IF(D69=2,0.65,IF(D69=3,0.45,0.25)))</f>
        <v>0.25</v>
      </c>
      <c r="Q69" s="270">
        <f>IF(D69=1,1,IF(D69=2,0.5,IF(D69=3,0.35,0.2)))</f>
        <v>0.2</v>
      </c>
      <c r="S69" s="270">
        <f>IF(F69&lt;=2,N69,IF(F69&lt;=3,N69-(N69-O69)/1*(F69-2),IF(F69&lt;=5,O69-(O69-P69)/2*(F69-3),IF(F69&lt;=7,P69-(P69-Q69)/2*(F69-5),Q69))))</f>
        <v>0.56</v>
      </c>
    </row>
    <row r="71" spans="1:15" ht="15" customHeight="1">
      <c r="A71" s="3" t="s">
        <v>430</v>
      </c>
      <c r="K71" s="270"/>
      <c r="N71" s="821" t="s">
        <v>426</v>
      </c>
      <c r="O71" s="821"/>
    </row>
    <row r="72" spans="4:17" ht="15" customHeight="1">
      <c r="D72" s="821" t="s">
        <v>293</v>
      </c>
      <c r="E72" s="821"/>
      <c r="F72" s="821" t="s">
        <v>426</v>
      </c>
      <c r="G72" s="821"/>
      <c r="H72" s="821" t="s">
        <v>294</v>
      </c>
      <c r="I72" s="821"/>
      <c r="J72" s="821" t="s">
        <v>431</v>
      </c>
      <c r="K72" s="821"/>
      <c r="N72" s="3">
        <v>2</v>
      </c>
      <c r="O72" s="3">
        <v>3</v>
      </c>
      <c r="P72" s="3">
        <v>5</v>
      </c>
      <c r="Q72" s="3">
        <v>7</v>
      </c>
    </row>
    <row r="73" spans="4:19" ht="15" customHeight="1">
      <c r="D73" s="952">
        <v>2</v>
      </c>
      <c r="E73" s="952"/>
      <c r="F73" s="953">
        <v>9</v>
      </c>
      <c r="G73" s="953"/>
      <c r="H73" s="956">
        <f>IF(F73="","",+S73)</f>
        <v>0.8</v>
      </c>
      <c r="I73" s="821"/>
      <c r="J73" s="956">
        <f>IF(F73="","",+MIN(10,F73)*H73)</f>
        <v>7.2</v>
      </c>
      <c r="K73" s="956"/>
      <c r="N73" s="270">
        <f>IF(D73=1,1,IF(D73=2,1,IF(D73=3,1,1)))</f>
        <v>1</v>
      </c>
      <c r="O73" s="270">
        <f>IF(D73=1,1,IF(D73=2,1,IF(D73=3,0.8,0.8)))</f>
        <v>1</v>
      </c>
      <c r="P73" s="270">
        <f>IF(D73=1,1,IF(D73=2,0.9,IF(D73=3,0.7,0.7)))</f>
        <v>0.9</v>
      </c>
      <c r="Q73" s="270">
        <f>IF(D73=1,1,IF(D73=2,0.8,IF(D73=3,0.6,0.6)))</f>
        <v>0.8</v>
      </c>
      <c r="S73" s="270">
        <f>IF(F73&lt;=2,N73,IF(F73&lt;=3,N73-(N73-O73)/1*(F73-2),IF(F73&lt;=5,O73-(O73-P73)/2*(F73-3),IF(F73&lt;=7,P73-(P73-Q73)/2*(F73-5),Q73))))</f>
        <v>0.8</v>
      </c>
    </row>
    <row r="74" spans="4:19" ht="15" customHeight="1">
      <c r="D74" s="952">
        <v>4</v>
      </c>
      <c r="E74" s="952"/>
      <c r="F74" s="953">
        <v>9</v>
      </c>
      <c r="G74" s="953"/>
      <c r="H74" s="956">
        <f>IF(F74="","",+S74)</f>
        <v>0.6</v>
      </c>
      <c r="I74" s="821"/>
      <c r="J74" s="956">
        <f>IF(F74="","",+MIN(10,F74)*H74)</f>
        <v>5.3999999999999995</v>
      </c>
      <c r="K74" s="956"/>
      <c r="N74" s="270">
        <f>IF(D74=1,1,IF(D74=2,1,IF(D74=3,1,1)))</f>
        <v>1</v>
      </c>
      <c r="O74" s="270">
        <f>IF(D74=1,1,IF(D74=2,1,IF(D74=3,0.8,0.8)))</f>
        <v>0.8</v>
      </c>
      <c r="P74" s="270">
        <f>IF(D74=1,1,IF(D74=2,0.9,IF(D74=3,0.7,0.7)))</f>
        <v>0.7</v>
      </c>
      <c r="Q74" s="270">
        <f>IF(D74=1,1,IF(D74=2,0.8,IF(D74=3,0.6,0.6)))</f>
        <v>0.6</v>
      </c>
      <c r="S74" s="270">
        <f>IF(F74&lt;=2,N74,IF(F74&lt;=3,N74-(N74-O74)/1*(F74-2),IF(F74&lt;=5,O74-(O74-P74)/2*(F74-3),IF(F74&lt;=7,P74-(P74-Q74)/2*(F74-5),Q74))))</f>
        <v>0.6</v>
      </c>
    </row>
    <row r="75" spans="6:13" ht="15" customHeight="1">
      <c r="F75" s="218"/>
      <c r="G75" s="93"/>
      <c r="H75" s="82"/>
      <c r="I75" s="82"/>
      <c r="J75" s="82"/>
      <c r="K75" s="82"/>
      <c r="L75" s="82"/>
      <c r="M75" s="82"/>
    </row>
    <row r="76" spans="6:13" ht="15" customHeight="1">
      <c r="F76" s="218"/>
      <c r="G76" s="93"/>
      <c r="H76" s="82"/>
      <c r="I76" s="82"/>
      <c r="J76" s="82"/>
      <c r="K76" s="82"/>
      <c r="L76" s="82"/>
      <c r="M76" s="82"/>
    </row>
    <row r="77" spans="1:13" ht="15" customHeight="1">
      <c r="A77" s="2" t="s">
        <v>532</v>
      </c>
      <c r="B77" s="2"/>
      <c r="C77" s="2"/>
      <c r="D77" s="2"/>
      <c r="E77" s="2"/>
      <c r="F77" s="2"/>
      <c r="G77" s="2"/>
      <c r="H77" s="2"/>
      <c r="I77" s="2"/>
      <c r="J77" s="2"/>
      <c r="K77" s="2"/>
      <c r="L77" s="2"/>
      <c r="M77" s="82"/>
    </row>
    <row r="78" spans="2:13" ht="15" customHeight="1">
      <c r="B78" s="2" t="s">
        <v>533</v>
      </c>
      <c r="C78" s="2"/>
      <c r="D78" s="2"/>
      <c r="E78" s="2"/>
      <c r="F78" s="2"/>
      <c r="G78" s="2"/>
      <c r="H78" s="2"/>
      <c r="I78" s="2"/>
      <c r="J78" s="2"/>
      <c r="K78" s="2"/>
      <c r="L78" s="2"/>
      <c r="M78" s="82"/>
    </row>
    <row r="79" spans="1:13" ht="15" customHeight="1">
      <c r="A79" s="331" t="s">
        <v>534</v>
      </c>
      <c r="B79" s="2"/>
      <c r="C79" s="2"/>
      <c r="D79" s="2"/>
      <c r="E79" s="2"/>
      <c r="F79" s="2"/>
      <c r="G79" s="2"/>
      <c r="H79" s="2"/>
      <c r="I79" s="2"/>
      <c r="J79" s="2"/>
      <c r="K79" s="2"/>
      <c r="L79" s="2"/>
      <c r="M79" s="82"/>
    </row>
    <row r="80" spans="1:13" ht="15" customHeight="1">
      <c r="A80" s="2"/>
      <c r="C80" s="2"/>
      <c r="D80" s="2" t="s">
        <v>206</v>
      </c>
      <c r="F80" s="2" t="s">
        <v>207</v>
      </c>
      <c r="H80" s="2" t="s">
        <v>208</v>
      </c>
      <c r="I80" s="2"/>
      <c r="J80" s="2"/>
      <c r="K80" s="2"/>
      <c r="L80" s="2"/>
      <c r="M80" s="82"/>
    </row>
    <row r="81" spans="1:13" ht="15" customHeight="1">
      <c r="A81" s="2" t="s">
        <v>209</v>
      </c>
      <c r="C81" s="2"/>
      <c r="D81" s="2" t="s">
        <v>535</v>
      </c>
      <c r="F81" s="2" t="s">
        <v>536</v>
      </c>
      <c r="H81" s="2" t="s">
        <v>537</v>
      </c>
      <c r="I81" s="2"/>
      <c r="J81" s="2"/>
      <c r="K81" s="2"/>
      <c r="L81" s="2"/>
      <c r="M81" s="82"/>
    </row>
    <row r="82" spans="1:13" ht="15" customHeight="1">
      <c r="A82" s="2" t="s">
        <v>210</v>
      </c>
      <c r="C82" s="2" t="s">
        <v>211</v>
      </c>
      <c r="D82" s="2" t="s">
        <v>538</v>
      </c>
      <c r="F82" s="2" t="s">
        <v>539</v>
      </c>
      <c r="H82" s="2" t="s">
        <v>540</v>
      </c>
      <c r="I82" s="2"/>
      <c r="J82" s="2"/>
      <c r="K82" s="2"/>
      <c r="L82" s="2"/>
      <c r="M82" s="82"/>
    </row>
    <row r="83" spans="1:13" ht="15" customHeight="1">
      <c r="A83" s="2"/>
      <c r="C83" s="2" t="s">
        <v>212</v>
      </c>
      <c r="D83" s="2" t="s">
        <v>541</v>
      </c>
      <c r="F83" s="2" t="s">
        <v>542</v>
      </c>
      <c r="H83" s="2" t="s">
        <v>543</v>
      </c>
      <c r="I83" s="2"/>
      <c r="J83" s="2"/>
      <c r="K83" s="2"/>
      <c r="L83" s="2"/>
      <c r="M83" s="82"/>
    </row>
    <row r="84" spans="1:13" ht="15" customHeight="1">
      <c r="A84" s="2" t="s">
        <v>213</v>
      </c>
      <c r="C84" s="2" t="s">
        <v>214</v>
      </c>
      <c r="D84" s="2" t="s">
        <v>544</v>
      </c>
      <c r="F84" s="2" t="s">
        <v>545</v>
      </c>
      <c r="H84" s="2" t="s">
        <v>546</v>
      </c>
      <c r="I84" s="2"/>
      <c r="J84" s="2"/>
      <c r="K84" s="2"/>
      <c r="L84" s="2"/>
      <c r="M84" s="82"/>
    </row>
    <row r="85" spans="1:13" ht="15" customHeight="1">
      <c r="A85" s="2"/>
      <c r="C85" s="2" t="s">
        <v>211</v>
      </c>
      <c r="D85" s="2" t="s">
        <v>547</v>
      </c>
      <c r="F85" s="2" t="s">
        <v>548</v>
      </c>
      <c r="H85" s="2" t="s">
        <v>549</v>
      </c>
      <c r="I85" s="2"/>
      <c r="J85" s="2"/>
      <c r="K85" s="2"/>
      <c r="L85" s="2"/>
      <c r="M85" s="82"/>
    </row>
    <row r="86" spans="1:13" ht="15" customHeight="1">
      <c r="A86" s="2"/>
      <c r="C86" s="2" t="s">
        <v>212</v>
      </c>
      <c r="D86" s="2" t="s">
        <v>550</v>
      </c>
      <c r="F86" s="2" t="s">
        <v>551</v>
      </c>
      <c r="H86" s="2" t="s">
        <v>552</v>
      </c>
      <c r="I86" s="2"/>
      <c r="J86" s="2"/>
      <c r="K86" s="2"/>
      <c r="L86" s="2"/>
      <c r="M86" s="82"/>
    </row>
    <row r="87" spans="1:13" ht="15" customHeight="1">
      <c r="A87" s="2"/>
      <c r="C87" s="2"/>
      <c r="D87" s="2"/>
      <c r="F87" s="2"/>
      <c r="H87" s="2"/>
      <c r="I87" s="2"/>
      <c r="J87" s="2"/>
      <c r="K87" s="2"/>
      <c r="L87" s="2"/>
      <c r="M87" s="82"/>
    </row>
    <row r="88" spans="2:13" ht="15" customHeight="1">
      <c r="B88" s="2" t="s">
        <v>553</v>
      </c>
      <c r="C88" s="2"/>
      <c r="E88" s="2"/>
      <c r="F88" s="2"/>
      <c r="G88" s="2" t="s">
        <v>554</v>
      </c>
      <c r="H88" s="2"/>
      <c r="I88" s="2"/>
      <c r="J88" s="2"/>
      <c r="K88" s="2"/>
      <c r="L88" s="2"/>
      <c r="M88" s="82"/>
    </row>
    <row r="89" spans="2:13" ht="15" customHeight="1">
      <c r="B89" s="2" t="s">
        <v>555</v>
      </c>
      <c r="C89" s="2"/>
      <c r="E89" s="2"/>
      <c r="F89" s="2"/>
      <c r="G89" s="2" t="s">
        <v>556</v>
      </c>
      <c r="H89" s="2"/>
      <c r="I89" s="2"/>
      <c r="J89" s="2"/>
      <c r="K89" s="2"/>
      <c r="L89" s="2"/>
      <c r="M89" s="82"/>
    </row>
    <row r="90" spans="2:13" ht="15" customHeight="1">
      <c r="B90" s="2" t="s">
        <v>624</v>
      </c>
      <c r="C90" s="2"/>
      <c r="E90" s="2"/>
      <c r="F90" s="2"/>
      <c r="G90" s="2" t="s">
        <v>557</v>
      </c>
      <c r="H90" s="2"/>
      <c r="I90" s="2"/>
      <c r="J90" s="2"/>
      <c r="K90" s="2"/>
      <c r="L90" s="2"/>
      <c r="M90" s="82"/>
    </row>
    <row r="91" spans="2:13" ht="15" customHeight="1">
      <c r="B91" s="332" t="s">
        <v>558</v>
      </c>
      <c r="C91" s="2"/>
      <c r="E91" s="2"/>
      <c r="F91" s="2"/>
      <c r="G91" s="332" t="s">
        <v>559</v>
      </c>
      <c r="H91" s="2"/>
      <c r="I91" s="2"/>
      <c r="J91" s="2"/>
      <c r="K91" s="2"/>
      <c r="L91" s="2"/>
      <c r="M91" s="82"/>
    </row>
    <row r="92" spans="2:13" ht="15" customHeight="1">
      <c r="B92" s="332" t="s">
        <v>560</v>
      </c>
      <c r="C92" s="2"/>
      <c r="E92" s="2"/>
      <c r="F92" s="2"/>
      <c r="G92" s="2" t="s">
        <v>561</v>
      </c>
      <c r="H92" s="2"/>
      <c r="I92" s="2"/>
      <c r="J92" s="2"/>
      <c r="K92" s="2"/>
      <c r="L92" s="2"/>
      <c r="M92" s="82"/>
    </row>
    <row r="93" spans="2:13" ht="15" customHeight="1">
      <c r="B93" s="2" t="s">
        <v>562</v>
      </c>
      <c r="C93" s="2"/>
      <c r="E93" s="2"/>
      <c r="F93" s="2"/>
      <c r="G93" s="2" t="s">
        <v>563</v>
      </c>
      <c r="H93" s="2"/>
      <c r="I93" s="2"/>
      <c r="J93" s="2"/>
      <c r="K93" s="2"/>
      <c r="L93" s="2"/>
      <c r="M93" s="82"/>
    </row>
    <row r="94" spans="2:13" ht="15" customHeight="1">
      <c r="B94" s="2" t="s">
        <v>564</v>
      </c>
      <c r="C94" s="2"/>
      <c r="E94" s="2"/>
      <c r="F94" s="2"/>
      <c r="G94" s="2" t="s">
        <v>565</v>
      </c>
      <c r="H94" s="2"/>
      <c r="I94" s="2"/>
      <c r="J94" s="2"/>
      <c r="K94" s="2"/>
      <c r="L94" s="2"/>
      <c r="M94" s="82"/>
    </row>
    <row r="95" spans="2:13" ht="15" customHeight="1">
      <c r="B95" s="2" t="s">
        <v>566</v>
      </c>
      <c r="C95" s="2"/>
      <c r="E95" s="2"/>
      <c r="F95" s="2"/>
      <c r="G95" s="2" t="s">
        <v>567</v>
      </c>
      <c r="H95" s="2"/>
      <c r="I95" s="2"/>
      <c r="J95" s="2"/>
      <c r="K95" s="2"/>
      <c r="L95" s="2"/>
      <c r="M95" s="82"/>
    </row>
    <row r="96" spans="2:13" ht="15" customHeight="1">
      <c r="B96" s="2" t="s">
        <v>568</v>
      </c>
      <c r="C96" s="2"/>
      <c r="D96" s="2"/>
      <c r="E96" s="2"/>
      <c r="F96" s="2"/>
      <c r="G96" s="2"/>
      <c r="H96" s="2"/>
      <c r="I96" s="2"/>
      <c r="J96" s="2"/>
      <c r="K96" s="2"/>
      <c r="L96" s="2"/>
      <c r="M96" s="82"/>
    </row>
    <row r="97" spans="2:13" ht="15" customHeight="1">
      <c r="B97" s="2" t="s">
        <v>569</v>
      </c>
      <c r="C97" s="2"/>
      <c r="D97" s="2"/>
      <c r="E97" s="2"/>
      <c r="F97" s="2"/>
      <c r="G97" s="2"/>
      <c r="H97" s="2"/>
      <c r="I97" s="2"/>
      <c r="J97" s="2"/>
      <c r="K97" s="2"/>
      <c r="L97" s="2"/>
      <c r="M97" s="82"/>
    </row>
    <row r="98" spans="2:13" ht="15" customHeight="1">
      <c r="B98" s="2"/>
      <c r="C98" s="2"/>
      <c r="D98" s="2"/>
      <c r="E98" s="2"/>
      <c r="F98" s="2"/>
      <c r="G98" s="2"/>
      <c r="H98" s="2"/>
      <c r="I98" s="2"/>
      <c r="J98" s="2"/>
      <c r="K98" s="2"/>
      <c r="L98" s="2"/>
      <c r="M98" s="82"/>
    </row>
    <row r="99" spans="1:13" ht="15" customHeight="1">
      <c r="A99" s="3" t="s">
        <v>570</v>
      </c>
      <c r="B99" s="2"/>
      <c r="C99" s="2"/>
      <c r="D99" s="2"/>
      <c r="E99" s="2"/>
      <c r="F99" s="2"/>
      <c r="G99" s="2"/>
      <c r="H99" s="2"/>
      <c r="I99" s="2"/>
      <c r="J99" s="2"/>
      <c r="K99" s="2"/>
      <c r="L99" s="2"/>
      <c r="M99" s="82"/>
    </row>
    <row r="100" spans="1:13" ht="15" customHeight="1">
      <c r="A100" s="2" t="s">
        <v>571</v>
      </c>
      <c r="C100" s="2"/>
      <c r="D100" s="2"/>
      <c r="F100" s="2"/>
      <c r="H100" s="2"/>
      <c r="I100" s="2"/>
      <c r="J100" s="2"/>
      <c r="K100" s="2"/>
      <c r="L100" s="2"/>
      <c r="M100" s="82"/>
    </row>
    <row r="101" spans="2:13" ht="15" customHeight="1">
      <c r="B101" s="2" t="s">
        <v>572</v>
      </c>
      <c r="C101" s="2"/>
      <c r="D101" s="2"/>
      <c r="E101" s="2"/>
      <c r="F101" s="2"/>
      <c r="G101" s="2"/>
      <c r="H101" s="2"/>
      <c r="I101" s="2"/>
      <c r="J101" s="2"/>
      <c r="K101" s="2"/>
      <c r="L101" s="2"/>
      <c r="M101" s="82"/>
    </row>
    <row r="102" spans="2:13" ht="15" customHeight="1">
      <c r="B102" s="2" t="s">
        <v>573</v>
      </c>
      <c r="C102" s="2"/>
      <c r="D102" s="2"/>
      <c r="E102" s="2"/>
      <c r="F102" s="2"/>
      <c r="G102" s="2"/>
      <c r="H102" s="2"/>
      <c r="I102" s="2"/>
      <c r="J102" s="2"/>
      <c r="K102" s="2"/>
      <c r="L102" s="2"/>
      <c r="M102" s="82"/>
    </row>
    <row r="103" spans="2:13" ht="15" customHeight="1">
      <c r="B103" s="2" t="s">
        <v>574</v>
      </c>
      <c r="C103" s="2"/>
      <c r="D103" s="2"/>
      <c r="E103" s="2"/>
      <c r="F103" s="2"/>
      <c r="G103" s="2"/>
      <c r="H103" s="2"/>
      <c r="I103" s="2"/>
      <c r="J103" s="2"/>
      <c r="K103" s="2"/>
      <c r="L103" s="2"/>
      <c r="M103" s="82"/>
    </row>
    <row r="104" spans="2:13" ht="15" customHeight="1">
      <c r="B104" s="600" t="s">
        <v>627</v>
      </c>
      <c r="C104" s="620"/>
      <c r="D104" s="620"/>
      <c r="E104" s="620"/>
      <c r="F104" s="620"/>
      <c r="G104" s="620"/>
      <c r="H104" s="620"/>
      <c r="I104" s="620"/>
      <c r="J104" s="620"/>
      <c r="K104" s="620"/>
      <c r="L104" s="2"/>
      <c r="M104" s="82"/>
    </row>
    <row r="105" spans="2:13" ht="15" customHeight="1">
      <c r="B105" s="620"/>
      <c r="C105" s="620"/>
      <c r="D105" s="620"/>
      <c r="E105" s="620"/>
      <c r="F105" s="620"/>
      <c r="G105" s="620"/>
      <c r="H105" s="620"/>
      <c r="I105" s="620"/>
      <c r="J105" s="620"/>
      <c r="K105" s="620"/>
      <c r="L105" s="2"/>
      <c r="M105" s="82"/>
    </row>
    <row r="106" spans="2:13" ht="15" customHeight="1">
      <c r="B106" s="2"/>
      <c r="C106" s="2"/>
      <c r="D106" s="2"/>
      <c r="E106" s="2"/>
      <c r="F106" s="2"/>
      <c r="G106" s="2"/>
      <c r="H106" s="2"/>
      <c r="I106" s="2"/>
      <c r="J106" s="2"/>
      <c r="K106" s="2"/>
      <c r="L106" s="2"/>
      <c r="M106" s="82"/>
    </row>
    <row r="107" spans="1:13" ht="15" customHeight="1">
      <c r="A107" s="331" t="s">
        <v>575</v>
      </c>
      <c r="B107" s="2"/>
      <c r="C107" s="2"/>
      <c r="D107" s="2"/>
      <c r="E107" s="2"/>
      <c r="F107" s="2"/>
      <c r="G107" s="2"/>
      <c r="H107" s="2"/>
      <c r="I107" s="2"/>
      <c r="J107" s="2"/>
      <c r="K107" s="2"/>
      <c r="L107" s="2"/>
      <c r="M107" s="82"/>
    </row>
    <row r="108" ht="15" customHeight="1">
      <c r="M108" s="82"/>
    </row>
    <row r="109" spans="1:13" ht="15" customHeight="1">
      <c r="A109" s="716" t="s">
        <v>588</v>
      </c>
      <c r="B109" s="716"/>
      <c r="C109" s="716"/>
      <c r="D109" s="716"/>
      <c r="E109" s="716"/>
      <c r="F109" s="716"/>
      <c r="G109" s="716"/>
      <c r="H109" s="716"/>
      <c r="I109" s="716"/>
      <c r="J109" s="716"/>
      <c r="K109" s="716"/>
      <c r="M109" s="82"/>
    </row>
    <row r="110" spans="1:13" ht="15" customHeight="1">
      <c r="A110" s="716"/>
      <c r="B110" s="716"/>
      <c r="C110" s="716"/>
      <c r="D110" s="716"/>
      <c r="E110" s="716"/>
      <c r="F110" s="716"/>
      <c r="G110" s="716"/>
      <c r="H110" s="716"/>
      <c r="I110" s="716"/>
      <c r="J110" s="716"/>
      <c r="K110" s="716"/>
      <c r="M110" s="82"/>
    </row>
    <row r="111" spans="1:13" ht="15" customHeight="1">
      <c r="A111" s="2" t="s">
        <v>589</v>
      </c>
      <c r="B111" s="2"/>
      <c r="C111" s="2"/>
      <c r="D111" s="2"/>
      <c r="F111" s="2"/>
      <c r="G111" s="2"/>
      <c r="H111" s="2"/>
      <c r="I111" s="2"/>
      <c r="J111" s="2"/>
      <c r="K111" s="2"/>
      <c r="M111" s="82"/>
    </row>
    <row r="112" spans="6:13" ht="15" customHeight="1">
      <c r="F112" s="218"/>
      <c r="G112" s="93"/>
      <c r="H112" s="82"/>
      <c r="I112" s="82"/>
      <c r="J112" s="82"/>
      <c r="K112" s="82"/>
      <c r="L112" s="82"/>
      <c r="M112" s="82"/>
    </row>
    <row r="113" spans="6:13" ht="15" customHeight="1">
      <c r="F113" s="218"/>
      <c r="G113" s="93"/>
      <c r="H113" s="82"/>
      <c r="I113" s="82"/>
      <c r="J113" s="82"/>
      <c r="K113" s="82"/>
      <c r="L113" s="82"/>
      <c r="M113" s="82"/>
    </row>
    <row r="114" spans="6:13" ht="15" customHeight="1">
      <c r="F114" s="218"/>
      <c r="G114" s="93"/>
      <c r="H114" s="82"/>
      <c r="I114" s="82"/>
      <c r="J114" s="82"/>
      <c r="K114" s="82"/>
      <c r="L114" s="82"/>
      <c r="M114" s="82"/>
    </row>
    <row r="115" spans="6:13" ht="15" customHeight="1">
      <c r="F115" s="218"/>
      <c r="G115" s="93"/>
      <c r="H115" s="82"/>
      <c r="I115" s="82"/>
      <c r="J115" s="82"/>
      <c r="K115" s="82"/>
      <c r="L115" s="82"/>
      <c r="M115" s="82"/>
    </row>
    <row r="116" spans="1:12" ht="15" customHeight="1">
      <c r="A116" s="361" t="s">
        <v>648</v>
      </c>
      <c r="B116" s="362"/>
      <c r="C116" s="362" t="s">
        <v>576</v>
      </c>
      <c r="D116" s="361"/>
      <c r="E116" s="362" t="s">
        <v>527</v>
      </c>
      <c r="F116" s="361"/>
      <c r="G116" s="362" t="s">
        <v>577</v>
      </c>
      <c r="H116" s="362"/>
      <c r="I116" s="362"/>
      <c r="J116" s="362"/>
      <c r="K116" s="362"/>
      <c r="L116" s="2"/>
    </row>
    <row r="117" spans="2:12" ht="15" customHeight="1">
      <c r="B117" s="2" t="s">
        <v>214</v>
      </c>
      <c r="C117" s="157">
        <f>+K8</f>
      </c>
      <c r="E117" s="157">
        <f>IF(F8="","",F8)</f>
      </c>
      <c r="F117" s="333">
        <f>+IF(OR(E117="",C117=0),"",IF(E117&lt;4,1.3,IF(E117&lt;6,1.15,1)))</f>
      </c>
      <c r="G117" s="2"/>
      <c r="H117" s="334">
        <f>IF(OR(C117=0,E117=""),0,1)</f>
        <v>0</v>
      </c>
      <c r="I117" s="335" t="s">
        <v>578</v>
      </c>
      <c r="J117" s="336" t="str">
        <f>IF(OR(C117="",C117=0),"*",IF(OR(C118="",C118=0),"*",MAX(0.1,C117/C118)))</f>
        <v>*</v>
      </c>
      <c r="K117" s="2"/>
      <c r="L117" s="2"/>
    </row>
    <row r="118" spans="2:12" ht="15" customHeight="1">
      <c r="B118" s="2" t="s">
        <v>211</v>
      </c>
      <c r="C118" s="157">
        <f>+K9</f>
      </c>
      <c r="E118" s="157">
        <f>IF(F9="","",F9)</f>
      </c>
      <c r="F118" s="333">
        <f>+IF(OR(E118="",C118=0),"",IF(E118&lt;4,1.3,IF(E118&lt;6,1.15,1)))</f>
      </c>
      <c r="H118" s="337">
        <f>IF(OR(C117="",C117=0),IF(OR(C118=0,E118=""),0,1),+F120)</f>
        <v>0</v>
      </c>
      <c r="I118" s="335" t="s">
        <v>579</v>
      </c>
      <c r="J118" s="336" t="str">
        <f>IF(OR(C118="",C118=0),"*",IF(OR(C119="",C119=0),"*",MAX(0.1,C118/C119)))</f>
        <v>*</v>
      </c>
      <c r="K118" s="2"/>
      <c r="L118" s="2"/>
    </row>
    <row r="119" spans="2:12" ht="15" customHeight="1">
      <c r="B119" s="2" t="s">
        <v>212</v>
      </c>
      <c r="C119" s="157">
        <f>+K10</f>
      </c>
      <c r="E119" s="157">
        <f>IF(F10="","",F10)</f>
      </c>
      <c r="F119" s="333">
        <f>+IF(E119="","",IF(OR(C118="",C118=0),1,IF(E119&lt;4,1.3,IF(E119&lt;6,1.15,1))))</f>
      </c>
      <c r="H119" s="337">
        <f>IF(F118=0,IF(OR(C119=0,E119=""),0,1),+F120)</f>
        <v>0</v>
      </c>
      <c r="I119" s="2"/>
      <c r="J119" s="2"/>
      <c r="K119" s="2"/>
      <c r="L119" s="2"/>
    </row>
    <row r="120" spans="2:12" ht="15" customHeight="1">
      <c r="B120" s="2"/>
      <c r="C120" s="157"/>
      <c r="F120" s="333">
        <f>+MAX(F117,F118,F119)</f>
        <v>0</v>
      </c>
      <c r="H120" s="333"/>
      <c r="I120" s="2"/>
      <c r="J120" s="2"/>
      <c r="K120" s="2"/>
      <c r="L120" s="2"/>
    </row>
    <row r="121" spans="1:12" ht="15" customHeight="1">
      <c r="A121" s="2"/>
      <c r="B121" s="332" t="s">
        <v>580</v>
      </c>
      <c r="C121" s="2"/>
      <c r="D121" s="2"/>
      <c r="E121" s="2"/>
      <c r="F121" s="2"/>
      <c r="G121" s="2"/>
      <c r="H121" s="2"/>
      <c r="I121" s="2"/>
      <c r="J121" s="2"/>
      <c r="K121" s="2"/>
      <c r="L121" s="2"/>
    </row>
    <row r="122" spans="1:12" ht="15" customHeight="1">
      <c r="A122" s="2" t="s">
        <v>581</v>
      </c>
      <c r="B122" s="2"/>
      <c r="C122" s="2"/>
      <c r="D122" s="2"/>
      <c r="F122" s="2"/>
      <c r="H122" s="2">
        <f>+O13</f>
        <v>0</v>
      </c>
      <c r="I122" s="2"/>
      <c r="J122" s="2"/>
      <c r="K122" s="2"/>
      <c r="L122" s="2"/>
    </row>
    <row r="123" spans="1:12" ht="15" customHeight="1">
      <c r="A123" s="2" t="s">
        <v>582</v>
      </c>
      <c r="B123" s="2"/>
      <c r="C123" s="2"/>
      <c r="D123" s="2"/>
      <c r="E123" s="2"/>
      <c r="F123" s="2"/>
      <c r="G123" s="2"/>
      <c r="H123" s="338"/>
      <c r="I123" s="2"/>
      <c r="J123" s="2"/>
      <c r="K123" s="2"/>
      <c r="L123" s="2"/>
    </row>
    <row r="124" spans="1:11" ht="15" customHeight="1">
      <c r="A124" s="2" t="s">
        <v>214</v>
      </c>
      <c r="B124" s="339" t="str">
        <f>+IF(OR(C117="",C117=0),"*",IF(H122=3,"k6＝1.04+0.13/Rf1+0.24/Rf2","k6＝1.23+0.1/Rf1+0.23/Rf2"))</f>
        <v>*</v>
      </c>
      <c r="C124" s="2"/>
      <c r="D124" s="2"/>
      <c r="E124" s="2"/>
      <c r="F124" s="2"/>
      <c r="G124" s="2"/>
      <c r="H124" s="2"/>
      <c r="I124" s="2"/>
      <c r="J124" s="2"/>
      <c r="K124" s="2"/>
    </row>
    <row r="125" spans="1:11" ht="15" customHeight="1">
      <c r="A125" s="2"/>
      <c r="B125" s="2"/>
      <c r="C125" s="340" t="s">
        <v>583</v>
      </c>
      <c r="D125" s="2"/>
      <c r="F125" s="340" t="s">
        <v>584</v>
      </c>
      <c r="G125" s="2"/>
      <c r="I125" s="335" t="str">
        <f>IF(OR(C117="",C117=0),"*","k6")</f>
        <v>*</v>
      </c>
      <c r="J125" s="336" t="str">
        <f>IF(OR(C117="",C117=0),"*",IF(H122=3,"0.64k6",IF(H122=2,"0.40k6",IF(H122=1,"0.28k6","未入力"))))</f>
        <v>*</v>
      </c>
      <c r="K125" s="2"/>
    </row>
    <row r="126" spans="1:11" ht="15" customHeight="1">
      <c r="A126" s="2"/>
      <c r="B126" s="335" t="str">
        <f>IF(OR(C117="",C117=0),"*",IF(H122=3,"1.04+0.13/","1.23+0.1/"))</f>
        <v>*</v>
      </c>
      <c r="C126" s="336" t="str">
        <f>+J118</f>
        <v>*</v>
      </c>
      <c r="E126" s="335" t="str">
        <f>IF(OR(C117="",C117=0),"*",IF(H122=3,"＋0.24/","＋0.23/"))</f>
        <v>*</v>
      </c>
      <c r="F126" s="336" t="str">
        <f>+J117</f>
        <v>*</v>
      </c>
      <c r="G126" s="331" t="s">
        <v>585</v>
      </c>
      <c r="I126" s="336" t="str">
        <f>IF(OR(C117="",C117=0),"*",IF(OR(F126="*",C126="*"),"*",IF(H122=3,1.04+0.13/C126+0.24/F126,1.23+0.1/C126+0.23/F126)))</f>
        <v>*</v>
      </c>
      <c r="J126" s="336" t="str">
        <f>IF(OR(C117="",C117=0),"*",IF(I126="*","*",IF(H122=3,0.64*I126,IF(H122=2,0.4*I126,IF(H122=1,0.28*I126,"*")))))</f>
        <v>*</v>
      </c>
      <c r="K126" s="2"/>
    </row>
    <row r="127" spans="1:11" ht="15" customHeight="1">
      <c r="A127" s="2"/>
      <c r="B127" s="2"/>
      <c r="C127" s="2"/>
      <c r="D127" s="2"/>
      <c r="E127" s="2"/>
      <c r="F127" s="2"/>
      <c r="G127" s="2"/>
      <c r="I127" s="2"/>
      <c r="J127" s="2"/>
      <c r="K127" s="2"/>
    </row>
    <row r="128" spans="1:11" ht="15" customHeight="1">
      <c r="A128" s="2" t="s">
        <v>211</v>
      </c>
      <c r="B128" s="339" t="str">
        <f>IF(OR(C118="",C118=0),"*",IF(OR(C117="",C117=0),IF(H122=3,"k2=1.06+0.15/Rf1","k2=1.3+0.07/Rf1"),IF(H122=3,"k5＝0.98+0.1/Rf1+0.05/Rf2","k5＝1.03+0.1/Rf1+0.08/Rf2")))</f>
        <v>*</v>
      </c>
      <c r="C128" s="2"/>
      <c r="D128" s="2"/>
      <c r="E128" s="2"/>
      <c r="F128" s="2"/>
      <c r="I128" s="340" t="str">
        <f>IF(OR(C118="",C118=0),"*",IF(OR(C117="",C117=0),"k2","k5"))</f>
        <v>*</v>
      </c>
      <c r="J128" s="341" t="str">
        <f>IF(OR(C118="",C118=0),"*",IF(OR(C117="",C117=0),IF(H122=3,"0.64k2",IF(H122=2,"0.40k2",IF(H122=1,"0.28k2","未入力"))),IF(H122=3,"1.22k4k5",IF(H122=2,"0.92k4k5",IF(H122=1,"0.72k4k5","未入力")))))</f>
        <v>*</v>
      </c>
      <c r="K128" s="342"/>
    </row>
    <row r="129" spans="1:11" ht="15" customHeight="1">
      <c r="A129" s="2"/>
      <c r="B129" s="340" t="str">
        <f>IF(OR(C118="",C118=0),"*",IF(OR(C117="",C117=0),IF(H122=3,"1.06+0.15/","1.3+0.07/"),IF(H122=3,"0.98+0.1/","1.03+0.1/")))</f>
        <v>*</v>
      </c>
      <c r="C129" s="336" t="str">
        <f>+J118</f>
        <v>*</v>
      </c>
      <c r="E129" s="340" t="str">
        <f>IF(OR(C118="",C118=0),"*",IF(OR(C117="",C117=0),"*",IF(H122=3,"+0.05/","+0.08/")))</f>
        <v>*</v>
      </c>
      <c r="F129" s="343" t="str">
        <f>+J117</f>
        <v>*</v>
      </c>
      <c r="G129" s="331" t="s">
        <v>585</v>
      </c>
      <c r="I129" s="343" t="str">
        <f>IF(OR(C118="",C118=0),"*",IF(C129="*","*",IF(OR(C117="",C117=0),IF(H122=3,1.06+0.15/C129,1.3+0.07/C129),IF(H122=3,0.98+0.1/C129+0.05/F129,1.03+0.1/C129+0.08/F129))))</f>
        <v>*</v>
      </c>
      <c r="J129" s="343" t="str">
        <f>IF(OR(C118="",C118=0),"*",IF(C129="*","*",IF(OR(C117="",C117=0),IF(H122=3,0.64*I129,IF(H122=2,0.4*I129,IF(H122=1,0.28*I129,"*"))),IF(H122=3,1.22*I129*I131,IF(H122=2,0.92*I129*I131,IF(H122=1,0.72*I129*I131,"*"))))))</f>
        <v>*</v>
      </c>
      <c r="K129" s="2"/>
    </row>
    <row r="130" spans="1:11" ht="15" customHeight="1">
      <c r="A130" s="2"/>
      <c r="B130" s="339" t="str">
        <f>IF(OR(C118="",C118=0),"*",IF(OR(C117="",C117=0),"*",IF(H122=3,"k4＝0.53+0.47*Rf2","k4＝0.40+0.6*Rf2")))</f>
        <v>*</v>
      </c>
      <c r="C130" s="2"/>
      <c r="D130" s="2"/>
      <c r="E130" s="339"/>
      <c r="F130" s="2"/>
      <c r="I130" s="340" t="str">
        <f>IF(OR(C118="",C118=0),"*",IF(OR(C117="",C117=0),"*","k4"))</f>
        <v>*</v>
      </c>
      <c r="J130" s="2"/>
      <c r="K130" s="2"/>
    </row>
    <row r="131" spans="1:11" ht="15" customHeight="1">
      <c r="A131" s="2"/>
      <c r="B131" s="801" t="str">
        <f>IF(OR(C118="",C118=0),"*",IF(OR(C117="",C117=0),"*",IF(H122=3,"0.53+0.47×","0.40+0.6×")))</f>
        <v>*</v>
      </c>
      <c r="C131" s="484"/>
      <c r="D131" s="339"/>
      <c r="F131" s="336" t="str">
        <f>+J117</f>
        <v>*</v>
      </c>
      <c r="G131" s="331" t="s">
        <v>585</v>
      </c>
      <c r="I131" s="343" t="str">
        <f>IF(OR(C118="",C118=0),"*",IF(OR(C117="",C117=0),"*",IF(H122=3,0.53+0.47*F131,0.4+0.6*F131)))</f>
        <v>*</v>
      </c>
      <c r="J131" s="2"/>
      <c r="K131" s="2"/>
    </row>
    <row r="132" spans="1:11" ht="15" customHeight="1">
      <c r="A132" s="2"/>
      <c r="B132" s="2"/>
      <c r="C132" s="2"/>
      <c r="D132" s="2"/>
      <c r="E132" s="2"/>
      <c r="F132" s="2"/>
      <c r="G132" s="2"/>
      <c r="H132" s="338"/>
      <c r="I132" s="2"/>
      <c r="J132" s="2"/>
      <c r="K132" s="2"/>
    </row>
    <row r="133" spans="1:11" ht="15" customHeight="1">
      <c r="A133" s="2" t="s">
        <v>212</v>
      </c>
      <c r="B133" s="339" t="str">
        <f>IF(OR(C118="",C118=0),"*",IF(OR(C117="",C117=0),IF(H122=3,"k1=0.53+0.47×Rf1","k1=0.40+0.6×Rf1"),IF(H122=3,"k3＝(0.36+0.64×Rf1)×(0.68+0.32×Rf2)","k3＝(0.25+0.75×Rf1)×(0.65+0.35×Rf2)")))</f>
        <v>*</v>
      </c>
      <c r="C133" s="2"/>
      <c r="D133" s="2"/>
      <c r="E133" s="339"/>
      <c r="F133" s="2"/>
      <c r="I133" s="340" t="str">
        <f>IF(OR(C118="",C118=0),"*",IF(OR(C117="",C117=0),"k1","k3"))</f>
        <v>*</v>
      </c>
      <c r="J133" s="343" t="str">
        <f>IF(OR(C118="",C118=0),IF(H122=3,"0.64",IF(H122=2,"0.40",IF(H122=1,"0.28","未入力"))),IF(OR(C117="",C117=0),IF(H122=3,"1.22k1",IF(H122=2,"0.92k1",IF(H122=1,"0.72k1","未入力"))),IF(H122=3,"1.80k3",IF(H122=2,"1.44k3",IF(H122=1,"1.16k3","未入力")))))</f>
        <v>未入力</v>
      </c>
      <c r="K133" s="2"/>
    </row>
    <row r="134" spans="1:11" ht="15" customHeight="1">
      <c r="A134" s="799" t="str">
        <f>IF(OR(C118="",C118=0),"*",IF(OR(C117="",C117=0),IF(H122=3,"0.53+0.47×","0.40+0.6×"),IF(H122=3,"(0.36+0.64×","(0.25+0.75×")))</f>
        <v>*</v>
      </c>
      <c r="B134" s="800"/>
      <c r="C134" s="336" t="str">
        <f>+J118</f>
        <v>*</v>
      </c>
      <c r="E134" s="340" t="str">
        <f>IF(OR(C118="",C118=0),"*",IF(OR(C117="",C117=0),"*",IF(H122=3,")×(0.68+0.32×",")×(0.65+0.35×")))</f>
        <v>*</v>
      </c>
      <c r="F134" s="343" t="str">
        <f>+J117</f>
        <v>*</v>
      </c>
      <c r="G134" s="331" t="s">
        <v>587</v>
      </c>
      <c r="I134" s="343" t="str">
        <f>IF(OR(C118="",C118=0),"*",IF(OR(C117="",C117=0),IF(H122=3,0.53+0.47*C134,0.4+0.6*C134),IF(H122=3,MIN(2,(0.36+0.64*C134)*(0.68+0.32*F134)),(0.25+0.75*C134)*(0.65+0.35*F134))))</f>
        <v>*</v>
      </c>
      <c r="J134" s="343" t="str">
        <f>IF(OR(C118="",C118=0),IF(H122=3,0.64,IF(H122=2,0.4,IF(H122=1,0.28,"*"))),IF(OR(C117="",C117=0),IF(H122=3,1.22*I134,IF(H122=2,0.92*I134,IF(H122=1,0.72*I134,"*"))),IF(H122=3,1.8*I134,IF(H122=2,1.44*I134,IF(H122=1,1.16*I134,"*")))))</f>
        <v>*</v>
      </c>
      <c r="K134" s="2"/>
    </row>
    <row r="135" spans="1:12" ht="15" customHeight="1">
      <c r="A135" s="344"/>
      <c r="B135" s="345"/>
      <c r="C135" s="336"/>
      <c r="E135" s="340"/>
      <c r="F135" s="343"/>
      <c r="G135" s="331"/>
      <c r="I135" s="343"/>
      <c r="J135" s="343"/>
      <c r="K135" s="2"/>
      <c r="L135" s="2"/>
    </row>
    <row r="136" spans="1:12" ht="15" customHeight="1">
      <c r="A136" s="392"/>
      <c r="B136" s="345"/>
      <c r="C136" s="336"/>
      <c r="E136" s="340"/>
      <c r="G136" s="331"/>
      <c r="I136" s="343"/>
      <c r="J136" s="343"/>
      <c r="K136" s="2"/>
      <c r="L136" s="2"/>
    </row>
    <row r="137" spans="1:12" ht="15" customHeight="1">
      <c r="A137" s="2"/>
      <c r="B137" s="347"/>
      <c r="C137" s="348"/>
      <c r="D137" s="348"/>
      <c r="E137" s="347"/>
      <c r="F137" s="348"/>
      <c r="G137" s="29"/>
      <c r="H137" s="29"/>
      <c r="I137" s="346"/>
      <c r="J137" s="2"/>
      <c r="K137" s="2"/>
      <c r="L137" s="2"/>
    </row>
    <row r="138" spans="1:12" ht="15" customHeight="1">
      <c r="A138" s="331" t="s">
        <v>590</v>
      </c>
      <c r="B138" s="2"/>
      <c r="C138" s="2"/>
      <c r="D138" s="2"/>
      <c r="F138" s="2"/>
      <c r="G138" s="349">
        <f>+D10</f>
      </c>
      <c r="H138" s="2"/>
      <c r="I138" s="350"/>
      <c r="J138" s="2"/>
      <c r="K138" s="2"/>
      <c r="L138" s="2"/>
    </row>
    <row r="139" spans="1:12" ht="15" customHeight="1">
      <c r="A139" s="331" t="s">
        <v>591</v>
      </c>
      <c r="B139" s="2"/>
      <c r="C139" s="2"/>
      <c r="D139" s="2"/>
      <c r="G139" s="2">
        <v>1</v>
      </c>
      <c r="H139" s="2"/>
      <c r="I139" s="335" t="s">
        <v>592</v>
      </c>
      <c r="J139" s="351">
        <f>IF(G139=2,1.5,1)</f>
        <v>1</v>
      </c>
      <c r="K139" s="2"/>
      <c r="L139" s="2"/>
    </row>
    <row r="140" spans="1:12" ht="15" customHeight="1">
      <c r="A140" s="2" t="s">
        <v>593</v>
      </c>
      <c r="B140" s="2"/>
      <c r="C140" s="2"/>
      <c r="D140" s="2"/>
      <c r="G140" s="2">
        <f>+O6</f>
        <v>1</v>
      </c>
      <c r="H140" s="2"/>
      <c r="I140" s="340" t="s">
        <v>594</v>
      </c>
      <c r="J140" s="351">
        <f>IF(G140=2,1.2,1)</f>
        <v>1</v>
      </c>
      <c r="K140" s="2"/>
      <c r="L140" s="2"/>
    </row>
    <row r="141" spans="1:12" ht="15" customHeight="1">
      <c r="A141" s="2"/>
      <c r="B141" s="716" t="s">
        <v>576</v>
      </c>
      <c r="C141" s="2"/>
      <c r="D141" s="352" t="s">
        <v>595</v>
      </c>
      <c r="F141" s="353" t="s">
        <v>596</v>
      </c>
      <c r="H141" s="353" t="s">
        <v>597</v>
      </c>
      <c r="J141" s="167" t="s">
        <v>598</v>
      </c>
      <c r="K141" s="80"/>
      <c r="L141" s="2"/>
    </row>
    <row r="142" spans="1:11" ht="15" customHeight="1">
      <c r="A142" s="2"/>
      <c r="B142" s="716"/>
      <c r="C142" s="335" t="s">
        <v>599</v>
      </c>
      <c r="D142" s="335" t="s">
        <v>600</v>
      </c>
      <c r="F142" s="335" t="s">
        <v>601</v>
      </c>
      <c r="H142" s="335" t="s">
        <v>602</v>
      </c>
      <c r="J142" s="335" t="s">
        <v>603</v>
      </c>
      <c r="K142" s="340" t="s">
        <v>604</v>
      </c>
    </row>
    <row r="143" spans="1:11" ht="15" customHeight="1">
      <c r="A143" s="2" t="s">
        <v>214</v>
      </c>
      <c r="B143" s="351">
        <f>+C117</f>
      </c>
      <c r="C143" s="336" t="str">
        <f>J126</f>
        <v>*</v>
      </c>
      <c r="D143" s="354" t="str">
        <f>IF(B143="","*",+G138)</f>
        <v>*</v>
      </c>
      <c r="E143" s="167"/>
      <c r="F143" s="354" t="str">
        <f>IF(B143="","*",J139)</f>
        <v>*</v>
      </c>
      <c r="H143" s="336" t="str">
        <f>IF(B143="","*",H117)</f>
        <v>*</v>
      </c>
      <c r="J143" s="354" t="str">
        <f>IF(B143="","*",IF(G140=2,J140,1))</f>
        <v>*</v>
      </c>
      <c r="K143" s="343">
        <f>IF(OR(B143="",D143="",E149="",D149="",H143=0),"",IF(C143="*","",B143*C143*D143*F143*H143*J143))</f>
      </c>
    </row>
    <row r="144" spans="1:11" ht="15" customHeight="1">
      <c r="A144" s="2" t="s">
        <v>211</v>
      </c>
      <c r="B144" s="351">
        <f>+C118</f>
      </c>
      <c r="C144" s="336" t="str">
        <f>J129</f>
        <v>*</v>
      </c>
      <c r="D144" s="354" t="str">
        <f>IF(B144="","*",+G138)</f>
        <v>*</v>
      </c>
      <c r="F144" s="354" t="str">
        <f>IF(B144="","*",J139)</f>
        <v>*</v>
      </c>
      <c r="H144" s="157">
        <f>IF(B143="",1,H118)</f>
        <v>1</v>
      </c>
      <c r="J144" s="354" t="str">
        <f>IF(B144="","*",IF(G140=2,J140,1))</f>
        <v>*</v>
      </c>
      <c r="K144" s="336">
        <f>IF(OR(B144="",D144="",H145=0),"",IF(C144="*","",IF(B144*C144*D144*F144*H144*J144=0,"",B144*C144*D144*F144*H144*J144)))</f>
      </c>
    </row>
    <row r="145" spans="1:11" ht="15" customHeight="1">
      <c r="A145" s="3" t="s">
        <v>212</v>
      </c>
      <c r="B145" s="168">
        <f>+C119</f>
      </c>
      <c r="C145" s="355" t="str">
        <f>IF(G140=2,0,J134)</f>
        <v>*</v>
      </c>
      <c r="D145" s="168" t="str">
        <f>IF(B145="","*",+G138)</f>
        <v>*</v>
      </c>
      <c r="F145" s="168" t="str">
        <f>IF(B145="","*",J139)</f>
        <v>*</v>
      </c>
      <c r="H145" s="61">
        <f>IF(B144="",1,H119)</f>
        <v>1</v>
      </c>
      <c r="J145" s="168" t="str">
        <f>IF(B145="","*",1)</f>
        <v>*</v>
      </c>
      <c r="K145" s="355">
        <f>IF(G140=2,"",IF(OR(B145="",D145=""),"",IF(C145="*","",IF(B145*C145*D145*F145*H145*J145=0,"",B145*C145*D145*F145*H145*J145))))</f>
      </c>
    </row>
    <row r="146" spans="1:11" ht="15" customHeight="1">
      <c r="A146" s="161" t="s">
        <v>605</v>
      </c>
      <c r="B146" s="161"/>
      <c r="C146" s="356"/>
      <c r="D146" s="356"/>
      <c r="E146" s="356"/>
      <c r="F146" s="784" t="s">
        <v>606</v>
      </c>
      <c r="G146" s="787"/>
      <c r="H146" s="788"/>
      <c r="I146" s="161"/>
      <c r="J146" s="161"/>
      <c r="K146" s="356" t="s">
        <v>309</v>
      </c>
    </row>
    <row r="147" spans="1:11" ht="15" customHeight="1">
      <c r="A147" s="356"/>
      <c r="B147" s="356"/>
      <c r="C147" s="500" t="s">
        <v>607</v>
      </c>
      <c r="D147" s="500" t="s">
        <v>608</v>
      </c>
      <c r="E147" s="500" t="s">
        <v>609</v>
      </c>
      <c r="F147" s="785"/>
      <c r="G147" s="782"/>
      <c r="H147" s="789"/>
      <c r="I147" s="787"/>
      <c r="J147" s="501" t="s">
        <v>610</v>
      </c>
      <c r="K147" s="783" t="s">
        <v>611</v>
      </c>
    </row>
    <row r="148" spans="1:11" ht="15" customHeight="1">
      <c r="A148" s="170" t="s">
        <v>612</v>
      </c>
      <c r="B148" s="170" t="s">
        <v>613</v>
      </c>
      <c r="C148" s="501"/>
      <c r="D148" s="501"/>
      <c r="E148" s="501"/>
      <c r="F148" s="786"/>
      <c r="G148" s="782"/>
      <c r="H148" s="790"/>
      <c r="I148" s="782"/>
      <c r="J148" s="782"/>
      <c r="K148" s="782"/>
    </row>
    <row r="149" spans="1:11" ht="15" customHeight="1">
      <c r="A149" s="356">
        <v>3</v>
      </c>
      <c r="B149" s="161" t="s">
        <v>614</v>
      </c>
      <c r="C149" s="162">
        <f aca="true" t="shared" si="4" ref="C149:C154">+D18</f>
        <v>0</v>
      </c>
      <c r="D149" s="162">
        <f aca="true" t="shared" si="5" ref="D149:D154">+IF(E18="","",E18)</f>
      </c>
      <c r="E149" s="162">
        <f aca="true" t="shared" si="6" ref="E149:E154">+G18</f>
      </c>
      <c r="F149" s="169">
        <f>+K143</f>
      </c>
      <c r="G149" s="169"/>
      <c r="H149" s="357"/>
      <c r="I149" s="313"/>
      <c r="J149" s="313">
        <f>IF(OR(C149="",D149="",E149="",F149=""),"",C149*D149*E149)</f>
      </c>
      <c r="K149" s="313">
        <f>IF(OR(F149="",J149=""),"",+ROUNDDOWN(J149/F149,2))</f>
      </c>
    </row>
    <row r="150" spans="1:11" ht="15" customHeight="1">
      <c r="A150" s="170"/>
      <c r="B150" s="161" t="s">
        <v>615</v>
      </c>
      <c r="C150" s="162">
        <f t="shared" si="4"/>
        <v>0</v>
      </c>
      <c r="D150" s="162">
        <f t="shared" si="5"/>
      </c>
      <c r="E150" s="162">
        <f t="shared" si="6"/>
      </c>
      <c r="F150" s="169">
        <f>+K143</f>
      </c>
      <c r="G150" s="169"/>
      <c r="H150" s="357"/>
      <c r="I150" s="313"/>
      <c r="J150" s="313">
        <f>IF(OR(C150="",D150="",E150="",F150=""),"",C150*D150*E150)</f>
      </c>
      <c r="K150" s="313">
        <f>IF(OR(F150="",J150=""),"",+ROUNDDOWN(J150/F150,2))</f>
      </c>
    </row>
    <row r="151" spans="1:11" ht="15" customHeight="1">
      <c r="A151" s="356">
        <v>2</v>
      </c>
      <c r="B151" s="161" t="s">
        <v>614</v>
      </c>
      <c r="C151" s="162">
        <f t="shared" si="4"/>
        <v>0</v>
      </c>
      <c r="D151" s="162">
        <f t="shared" si="5"/>
      </c>
      <c r="E151" s="162">
        <f t="shared" si="6"/>
      </c>
      <c r="F151" s="169">
        <f>+K144</f>
      </c>
      <c r="G151" s="169"/>
      <c r="H151" s="357"/>
      <c r="I151" s="313"/>
      <c r="J151" s="313">
        <f>IF(OR(C151="",D151="",E151="",F151=""),"",C151*D151*E151)</f>
      </c>
      <c r="K151" s="313">
        <f>IF(OR(J151="",F151=""),"",+ROUNDDOWN(J151/F151,2))</f>
      </c>
    </row>
    <row r="152" spans="1:11" ht="15" customHeight="1">
      <c r="A152" s="170"/>
      <c r="B152" s="161" t="s">
        <v>615</v>
      </c>
      <c r="C152" s="162">
        <f t="shared" si="4"/>
        <v>0</v>
      </c>
      <c r="D152" s="162">
        <f t="shared" si="5"/>
      </c>
      <c r="E152" s="162">
        <f t="shared" si="6"/>
      </c>
      <c r="F152" s="169">
        <f>+K144</f>
      </c>
      <c r="G152" s="169"/>
      <c r="H152" s="357"/>
      <c r="I152" s="313"/>
      <c r="J152" s="313">
        <f>IF(OR(C152="",D152="",E152="",F152=""),"",+C152*D152*E152)</f>
      </c>
      <c r="K152" s="313">
        <f>IF(OR(J152="",F152=""),"",+ROUNDDOWN(J152/F152,2))</f>
      </c>
    </row>
    <row r="153" spans="1:11" ht="15" customHeight="1">
      <c r="A153" s="356">
        <v>1</v>
      </c>
      <c r="B153" s="161" t="s">
        <v>614</v>
      </c>
      <c r="C153" s="162">
        <f t="shared" si="4"/>
        <v>0</v>
      </c>
      <c r="D153" s="162">
        <f t="shared" si="5"/>
      </c>
      <c r="E153" s="162">
        <f t="shared" si="6"/>
        <v>1</v>
      </c>
      <c r="F153" s="357">
        <f>IF(G140=2,"",+K145)</f>
      </c>
      <c r="G153" s="169"/>
      <c r="H153" s="169"/>
      <c r="I153" s="313"/>
      <c r="J153" s="313">
        <f>IF(G140=2,"",IF(F153="","",IF(OR(C153="",D153="",E153=""),"",+C153*D153*E153)))</f>
      </c>
      <c r="K153" s="313">
        <f>IF(G140=2,"",IF(OR(F153="",J153=""),"",ROUNDDOWN(J153/F153,2)))</f>
      </c>
    </row>
    <row r="154" spans="1:11" ht="15" customHeight="1">
      <c r="A154" s="170"/>
      <c r="B154" s="161" t="s">
        <v>615</v>
      </c>
      <c r="C154" s="162">
        <f t="shared" si="4"/>
        <v>0</v>
      </c>
      <c r="D154" s="162">
        <f t="shared" si="5"/>
      </c>
      <c r="E154" s="162">
        <f t="shared" si="6"/>
        <v>1</v>
      </c>
      <c r="F154" s="357">
        <f>+F153</f>
      </c>
      <c r="G154" s="169"/>
      <c r="H154" s="169"/>
      <c r="I154" s="313"/>
      <c r="J154" s="313">
        <f>IF(G140=2,"",IF(F154="","",IF(OR(C154="",D154="",E154=""),"",C154*D154*E154)))</f>
      </c>
      <c r="K154" s="313">
        <f>IF(G140=2,"",IF(OR(F154="",J154=""),"",ROUNDDOWN(J154/F154,2)))</f>
      </c>
    </row>
    <row r="155" spans="6:13" ht="15" customHeight="1">
      <c r="F155" s="218"/>
      <c r="G155" s="93"/>
      <c r="H155" s="82"/>
      <c r="I155" s="82"/>
      <c r="J155" s="82"/>
      <c r="K155" s="82"/>
      <c r="L155" s="82"/>
      <c r="M155" s="82"/>
    </row>
    <row r="156" spans="6:13" ht="15" customHeight="1">
      <c r="F156" s="218"/>
      <c r="G156" s="93"/>
      <c r="H156" s="82"/>
      <c r="I156" s="82"/>
      <c r="J156" s="82"/>
      <c r="K156" s="82"/>
      <c r="L156" s="82"/>
      <c r="M156" s="82"/>
    </row>
    <row r="157" spans="6:13" ht="15" customHeight="1">
      <c r="F157" s="218"/>
      <c r="G157" s="93"/>
      <c r="H157" s="82"/>
      <c r="I157" s="82"/>
      <c r="J157" s="82"/>
      <c r="K157" s="82"/>
      <c r="L157" s="82"/>
      <c r="M157" s="82"/>
    </row>
    <row r="158" spans="1:12" ht="15" customHeight="1">
      <c r="A158" s="361" t="s">
        <v>641</v>
      </c>
      <c r="B158" s="362"/>
      <c r="C158" s="362" t="s">
        <v>576</v>
      </c>
      <c r="D158" s="361"/>
      <c r="E158" s="362" t="s">
        <v>527</v>
      </c>
      <c r="F158" s="361"/>
      <c r="G158" s="362" t="s">
        <v>577</v>
      </c>
      <c r="H158" s="362"/>
      <c r="I158" s="362"/>
      <c r="J158" s="362"/>
      <c r="K158" s="362"/>
      <c r="L158" s="2"/>
    </row>
    <row r="159" spans="2:12" ht="15" customHeight="1">
      <c r="B159" s="2" t="s">
        <v>214</v>
      </c>
      <c r="C159" s="157">
        <f>+K8</f>
      </c>
      <c r="E159" s="157">
        <f>IF(F8="","",F8)</f>
      </c>
      <c r="F159" s="333">
        <f>+IF(OR(E159="",C159=0),"",IF(E159&lt;4,1.3,IF(E159&lt;6,1.15,1)))</f>
      </c>
      <c r="G159" s="2"/>
      <c r="H159" s="334">
        <f>IF(OR(C159=0,E159=""),0,1)</f>
        <v>0</v>
      </c>
      <c r="I159" s="335" t="s">
        <v>578</v>
      </c>
      <c r="J159" s="336" t="str">
        <f>IF(OR(C159="",C159=0),"*",IF(OR(C160="",C160=0),"*",MAX(0.1,C159/C160)))</f>
        <v>*</v>
      </c>
      <c r="K159" s="2"/>
      <c r="L159" s="2"/>
    </row>
    <row r="160" spans="2:12" ht="15" customHeight="1">
      <c r="B160" s="2" t="s">
        <v>211</v>
      </c>
      <c r="C160" s="157">
        <f>+K9</f>
      </c>
      <c r="E160" s="157">
        <f>IF(F9="","",F9)</f>
      </c>
      <c r="F160" s="333">
        <f>+IF(OR(E160="",C160=0),"",IF(E160&lt;4,1.3,IF(E160&lt;6,1.15,1)))</f>
      </c>
      <c r="H160" s="337">
        <f>IF(OR(C159="",C159=0),IF(OR(C160=0,E160=""),0,1),+F162)</f>
        <v>0</v>
      </c>
      <c r="I160" s="335" t="s">
        <v>579</v>
      </c>
      <c r="J160" s="336" t="str">
        <f>IF(OR(C160="",C160=0),"*",IF(OR(C161="",C161=0),"*",MAX(0.1,C160/C161)))</f>
        <v>*</v>
      </c>
      <c r="K160" s="2"/>
      <c r="L160" s="2"/>
    </row>
    <row r="161" spans="2:12" ht="15" customHeight="1">
      <c r="B161" s="2" t="s">
        <v>212</v>
      </c>
      <c r="C161" s="157">
        <f>+K10</f>
      </c>
      <c r="E161" s="157">
        <f>IF(F10="","",F10)</f>
      </c>
      <c r="F161" s="333">
        <f>+IF(E161="","",IF(OR(C160="",C160=0),1,IF(E161&lt;4,1.3,IF(E161&lt;6,1.15,1))))</f>
      </c>
      <c r="H161" s="337">
        <f>IF(F160=0,IF(OR(C161=0,E161=""),0,1),+F162)</f>
        <v>0</v>
      </c>
      <c r="I161" s="2"/>
      <c r="J161" s="2"/>
      <c r="K161" s="2"/>
      <c r="L161" s="2"/>
    </row>
    <row r="162" spans="2:12" ht="15" customHeight="1">
      <c r="B162" s="2"/>
      <c r="C162" s="157"/>
      <c r="F162" s="333">
        <f>+MAX(F159,F160,F161)</f>
        <v>0</v>
      </c>
      <c r="H162" s="333"/>
      <c r="I162" s="2"/>
      <c r="J162" s="2"/>
      <c r="K162" s="2"/>
      <c r="L162" s="2"/>
    </row>
    <row r="163" spans="1:12" ht="15" customHeight="1">
      <c r="A163" s="2"/>
      <c r="B163" s="332" t="s">
        <v>580</v>
      </c>
      <c r="C163" s="2"/>
      <c r="D163" s="2"/>
      <c r="E163" s="2"/>
      <c r="F163" s="2"/>
      <c r="G163" s="2"/>
      <c r="H163" s="2"/>
      <c r="I163" s="2"/>
      <c r="J163" s="2"/>
      <c r="K163" s="2"/>
      <c r="L163" s="2"/>
    </row>
    <row r="164" spans="1:12" ht="15" customHeight="1">
      <c r="A164" s="2" t="s">
        <v>581</v>
      </c>
      <c r="B164" s="2"/>
      <c r="C164" s="2"/>
      <c r="D164" s="2"/>
      <c r="F164" s="2"/>
      <c r="H164" s="2">
        <f>+O26</f>
        <v>0</v>
      </c>
      <c r="I164" s="2"/>
      <c r="J164" s="2"/>
      <c r="K164" s="2"/>
      <c r="L164" s="2"/>
    </row>
    <row r="165" spans="1:12" ht="15" customHeight="1">
      <c r="A165" s="2" t="s">
        <v>582</v>
      </c>
      <c r="B165" s="2"/>
      <c r="C165" s="2"/>
      <c r="D165" s="2"/>
      <c r="E165" s="2"/>
      <c r="F165" s="2"/>
      <c r="G165" s="2"/>
      <c r="H165" s="338"/>
      <c r="I165" s="2"/>
      <c r="J165" s="2"/>
      <c r="K165" s="2"/>
      <c r="L165" s="2"/>
    </row>
    <row r="166" spans="1:11" ht="15" customHeight="1">
      <c r="A166" s="2" t="s">
        <v>214</v>
      </c>
      <c r="B166" s="339" t="str">
        <f>+IF(OR(C159="",C159=0),"*",IF(H164=3,"k6＝1.04+0.13/Rf1+0.24/Rf2","k6＝1.23+0.1/Rf1+0.23/Rf2"))</f>
        <v>*</v>
      </c>
      <c r="C166" s="2"/>
      <c r="D166" s="2"/>
      <c r="E166" s="2"/>
      <c r="F166" s="2"/>
      <c r="G166" s="2"/>
      <c r="H166" s="2"/>
      <c r="I166" s="2"/>
      <c r="J166" s="2"/>
      <c r="K166" s="2"/>
    </row>
    <row r="167" spans="1:11" ht="15" customHeight="1">
      <c r="A167" s="2"/>
      <c r="B167" s="2"/>
      <c r="C167" s="340" t="s">
        <v>583</v>
      </c>
      <c r="D167" s="2"/>
      <c r="F167" s="340" t="s">
        <v>584</v>
      </c>
      <c r="G167" s="2"/>
      <c r="I167" s="335" t="str">
        <f>IF(OR(C159="",C159=0),"*","k6")</f>
        <v>*</v>
      </c>
      <c r="J167" s="336" t="str">
        <f>IF(OR(C159="",C159=0),"*",IF(H164=3,"0.64k6",IF(H164=2,"0.40k6",IF(H164=1,"0.28k6","未入力"))))</f>
        <v>*</v>
      </c>
      <c r="K167" s="2"/>
    </row>
    <row r="168" spans="1:11" ht="15" customHeight="1">
      <c r="A168" s="2"/>
      <c r="B168" s="335" t="str">
        <f>IF(OR(C159="",C159=0),"*",IF(H164=3,"1.04+0.13/","1.23+0.1/"))</f>
        <v>*</v>
      </c>
      <c r="C168" s="336" t="str">
        <f>+J160</f>
        <v>*</v>
      </c>
      <c r="E168" s="335" t="str">
        <f>IF(OR(C159="",C159=0),"*",IF(H164=3,"＋0.24/","＋0.23/"))</f>
        <v>*</v>
      </c>
      <c r="F168" s="336" t="str">
        <f>+J159</f>
        <v>*</v>
      </c>
      <c r="G168" s="331" t="s">
        <v>585</v>
      </c>
      <c r="I168" s="336" t="str">
        <f>IF(OR(C159="",C159=0),"*",IF(OR(F168="*",C168="*"),"*",IF(H164=3,1.04+0.13/C168+0.24/F168,1.23+0.1/C168+0.23/F168)))</f>
        <v>*</v>
      </c>
      <c r="J168" s="336" t="str">
        <f>IF(OR(C159="",C159=0),"*",IF(I168="*","*",IF(H164=3,0.64*I168,IF(H164=2,0.4*I168,IF(H164=1,0.28*I168,"*")))))</f>
        <v>*</v>
      </c>
      <c r="K168" s="2"/>
    </row>
    <row r="169" spans="1:11" ht="15" customHeight="1">
      <c r="A169" s="2"/>
      <c r="B169" s="2"/>
      <c r="C169" s="2"/>
      <c r="D169" s="2"/>
      <c r="E169" s="2"/>
      <c r="F169" s="2"/>
      <c r="G169" s="2"/>
      <c r="I169" s="2"/>
      <c r="J169" s="2"/>
      <c r="K169" s="2"/>
    </row>
    <row r="170" spans="1:11" ht="15" customHeight="1">
      <c r="A170" s="2" t="s">
        <v>211</v>
      </c>
      <c r="B170" s="339" t="str">
        <f>IF(OR(C160="",C160=0),"*",IF(OR(C159="",C159=0),IF(H164=3,"k2=1.06+0.15/Rf1","k2=1.3+0.07/Rf1"),IF(H164=3,"k5＝0.98+0.1/Rf1+0.05/Rf2","k5＝1.03+0.1/Rf1+0.08/Rf2")))</f>
        <v>*</v>
      </c>
      <c r="C170" s="2"/>
      <c r="D170" s="2"/>
      <c r="E170" s="2"/>
      <c r="F170" s="2"/>
      <c r="I170" s="340" t="str">
        <f>IF(OR(C160="",C160=0),"*",IF(OR(C159="",C159=0),"k2","k5"))</f>
        <v>*</v>
      </c>
      <c r="J170" s="341" t="str">
        <f>IF(OR(C160="",C160=0),"*",IF(OR(C159="",C159=0),IF(H164=3,"0.64k2",IF(H164=2,"0.40k2",IF(H164=1,"0.28k2","未入力"))),IF(H164=3,"1.22k4k5",IF(H164=2,"0.92k4k5",IF(H164=1,"0.72k4k5","未入力")))))</f>
        <v>*</v>
      </c>
      <c r="K170" s="342"/>
    </row>
    <row r="171" spans="1:11" ht="15" customHeight="1">
      <c r="A171" s="2"/>
      <c r="B171" s="340" t="str">
        <f>IF(C160="","*",IF(C159="",IF(H164=3,"1.06+0.15/","1.3+0.07/"),IF(H164=3,"0.98+0.1/","1.03+0.1/")))</f>
        <v>*</v>
      </c>
      <c r="C171" s="336" t="str">
        <f>+J160</f>
        <v>*</v>
      </c>
      <c r="E171" s="340" t="str">
        <f>IF(C160="","*",IF(C159="","*",IF(H164=3,"+0.05/","+0.08/")))</f>
        <v>*</v>
      </c>
      <c r="F171" s="343" t="str">
        <f>+J159</f>
        <v>*</v>
      </c>
      <c r="G171" s="331" t="s">
        <v>585</v>
      </c>
      <c r="I171" s="343" t="str">
        <f>IF(OR(C160="",C160=0),"*",IF(C171="*","*",IF(OR(C159="",C159=0),IF(H164=3,1.06+0.15/C171,1.3+0.07/C171),IF(H164=3,0.98+0.1/C171+0.05/F171,1.03+0.1/C171+0.08/F171))))</f>
        <v>*</v>
      </c>
      <c r="J171" s="343" t="str">
        <f>IF(OR(C160="",C160=0),"*",IF(C171="*","*",IF(OR(C159="",C159=0),IF(H164=3,0.64*I171,IF(H164=2,0.4*I171,IF(H164=1,0.28*I171,"*"))),IF(H164=3,1.22*I171*I173,IF(H164=2,0.92*I171*I173,IF(H164=1,0.72*I171*I173,"*"))))))</f>
        <v>*</v>
      </c>
      <c r="K171" s="2"/>
    </row>
    <row r="172" spans="1:11" ht="15" customHeight="1">
      <c r="A172" s="2"/>
      <c r="B172" s="339" t="str">
        <f>IF(OR(C160="",C160=0),"*",IF(OR(C159="",C159=0),"*",IF(H164=3,"k4＝0.53+0.47*Rf2","k4＝0.40+0.6*Rf2")))</f>
        <v>*</v>
      </c>
      <c r="C172" s="2"/>
      <c r="D172" s="2"/>
      <c r="E172" s="339"/>
      <c r="F172" s="2"/>
      <c r="I172" s="340" t="str">
        <f>IF(OR(C160="",C160=0),"*",IF(OR(C159="",C159=0),"*","k4"))</f>
        <v>*</v>
      </c>
      <c r="J172" s="2"/>
      <c r="K172" s="2"/>
    </row>
    <row r="173" spans="1:11" ht="15" customHeight="1">
      <c r="A173" s="2"/>
      <c r="B173" s="801" t="str">
        <f>IF(OR(C160="",C160=0),"*",IF(OR(C159="",C159=0),"*",IF(H164=3,"0.53+0.47×","0.40+0.6×")))</f>
        <v>*</v>
      </c>
      <c r="C173" s="484"/>
      <c r="D173" s="339"/>
      <c r="F173" s="336" t="str">
        <f>+J159</f>
        <v>*</v>
      </c>
      <c r="G173" s="331" t="s">
        <v>585</v>
      </c>
      <c r="I173" s="343" t="str">
        <f>IF(OR(C160="",C160=0),"*",IF(OR(C159="",C159=0),"*",IF(H164=3,0.53+0.47*F173,0.4+0.6*F173)))</f>
        <v>*</v>
      </c>
      <c r="J173" s="2"/>
      <c r="K173" s="2"/>
    </row>
    <row r="174" spans="1:11" ht="15" customHeight="1">
      <c r="A174" s="2"/>
      <c r="B174" s="2"/>
      <c r="C174" s="2"/>
      <c r="D174" s="2"/>
      <c r="E174" s="2"/>
      <c r="F174" s="2"/>
      <c r="G174" s="2"/>
      <c r="H174" s="338"/>
      <c r="I174" s="2"/>
      <c r="J174" s="2"/>
      <c r="K174" s="2"/>
    </row>
    <row r="175" spans="1:11" ht="15" customHeight="1">
      <c r="A175" s="2" t="s">
        <v>212</v>
      </c>
      <c r="B175" s="339" t="str">
        <f>IF(OR(C160="",C160=0),"*",IF(OR(C159="",C159=0),IF(H164=3,"k1=0.53+0.47×Rf1","k1=0.40+0.6×Rf1"),IF(H164=3,"k3＝(0.36+0.64×Rf1)×(0.68+0.32×Rf2)","k3＝(0.25+0.75×Rf1)×(0.65+0.35×Rf2)")))</f>
        <v>*</v>
      </c>
      <c r="C175" s="2"/>
      <c r="D175" s="2"/>
      <c r="E175" s="339"/>
      <c r="F175" s="2"/>
      <c r="I175" s="340" t="str">
        <f>IF(OR(C160="",C160=0),"*",IF(OR(C159="",C159=0),"k1","k3"))</f>
        <v>*</v>
      </c>
      <c r="J175" s="343" t="str">
        <f>IF(OR(C160="",C160=0),IF(H164=3,"0.64",IF(H164=2,"0.40",IF(H164=1,"0.28","未入力"))),IF(OR(C159="",C159=0),IF(H164=3,"1.22k1",IF(H164=2,"0.92k1",IF(H164=1,"0.72k1","未入力"))),IF(H164=3,"1.80k3",IF(H164=2,"1.44k3",IF(H164=1,"1.16k3","未入力")))))</f>
        <v>未入力</v>
      </c>
      <c r="K175" s="2"/>
    </row>
    <row r="176" spans="1:11" ht="15" customHeight="1">
      <c r="A176" s="799" t="str">
        <f>IF(OR(C160="",C160=0),"*",IF(OR(C159="",C159=0),IF(H164=3,"0.53+0.47×","0.40+0.6×"),IF(H164=3,"(0.36+0.64×","(0.25+0.75×")))</f>
        <v>*</v>
      </c>
      <c r="B176" s="799"/>
      <c r="C176" s="336" t="str">
        <f>+J160</f>
        <v>*</v>
      </c>
      <c r="E176" s="340" t="str">
        <f>IF(OR(C160="",C160=0),"*",IF(OR(C159="",C159=0),"*",IF(H164=3,")×(0.68+0.32×",")×(0.65+0.35×")))</f>
        <v>*</v>
      </c>
      <c r="F176" s="343" t="str">
        <f>+J159</f>
        <v>*</v>
      </c>
      <c r="G176" s="331" t="s">
        <v>587</v>
      </c>
      <c r="I176" s="343" t="str">
        <f>IF(OR(C160="",C160=0),"*",IF(OR(C159="",C159=0),IF(H164=3,0.53+0.47*C176,0.4+0.6*C176),IF(H164=3,MIN(2,(0.36+0.64*C176)*(0.68+0.32*F176)),(0.25+0.75*C176)*(0.65+0.35*F176))))</f>
        <v>*</v>
      </c>
      <c r="J176" s="343" t="str">
        <f>IF(OR(C160="",C160=0),IF(H164=3,0.64,IF(H164=2,0.4,IF(H164=1,0.28,"*"))),IF(OR(C159="",C159=0),IF(H164=3,1.22*I176,IF(H164=2,0.92*I176,IF(H164=1,0.72*I176,"*"))),IF(H164=3,1.8*I176,IF(H164=2,1.44*I176,IF(H164=1,1.16*I176,"*")))))</f>
        <v>*</v>
      </c>
      <c r="K176" s="2"/>
    </row>
    <row r="177" spans="1:12" ht="15" customHeight="1">
      <c r="A177" s="344"/>
      <c r="B177" s="345"/>
      <c r="C177" s="336"/>
      <c r="E177" s="340"/>
      <c r="F177" s="343"/>
      <c r="G177" s="331"/>
      <c r="I177" s="343"/>
      <c r="J177" s="343"/>
      <c r="K177" s="2"/>
      <c r="L177" s="2"/>
    </row>
    <row r="178" spans="1:12" ht="15" customHeight="1">
      <c r="A178" s="344"/>
      <c r="B178" s="345"/>
      <c r="C178" s="336"/>
      <c r="E178" s="340"/>
      <c r="F178" s="343"/>
      <c r="G178" s="331"/>
      <c r="I178" s="343"/>
      <c r="J178" s="343"/>
      <c r="K178" s="2"/>
      <c r="L178" s="2"/>
    </row>
    <row r="179" spans="1:12" ht="15" customHeight="1">
      <c r="A179" s="2"/>
      <c r="B179" s="347"/>
      <c r="C179" s="348"/>
      <c r="D179" s="348"/>
      <c r="E179" s="347"/>
      <c r="F179" s="348"/>
      <c r="G179" s="29"/>
      <c r="H179" s="29"/>
      <c r="I179" s="346"/>
      <c r="J179" s="2"/>
      <c r="K179" s="2"/>
      <c r="L179" s="2"/>
    </row>
    <row r="180" spans="1:12" ht="15" customHeight="1">
      <c r="A180" s="331" t="s">
        <v>590</v>
      </c>
      <c r="B180" s="2"/>
      <c r="C180" s="2"/>
      <c r="D180" s="2"/>
      <c r="F180" s="2"/>
      <c r="G180" s="349">
        <f>+D10</f>
      </c>
      <c r="H180" s="2"/>
      <c r="I180" s="350"/>
      <c r="J180" s="2"/>
      <c r="K180" s="2"/>
      <c r="L180" s="2"/>
    </row>
    <row r="181" spans="1:12" ht="15" customHeight="1">
      <c r="A181" s="331" t="s">
        <v>591</v>
      </c>
      <c r="B181" s="2"/>
      <c r="C181" s="2"/>
      <c r="D181" s="2"/>
      <c r="G181" s="2">
        <v>1</v>
      </c>
      <c r="H181" s="2"/>
      <c r="I181" s="335" t="s">
        <v>592</v>
      </c>
      <c r="J181" s="351">
        <f>IF(G181=2,1.5,1)</f>
        <v>1</v>
      </c>
      <c r="K181" s="2"/>
      <c r="L181" s="2"/>
    </row>
    <row r="182" spans="1:12" ht="15" customHeight="1">
      <c r="A182" s="2" t="s">
        <v>593</v>
      </c>
      <c r="B182" s="2"/>
      <c r="C182" s="2"/>
      <c r="D182" s="2"/>
      <c r="G182" s="2">
        <f>+O6</f>
        <v>1</v>
      </c>
      <c r="H182" s="2"/>
      <c r="I182" s="340" t="s">
        <v>594</v>
      </c>
      <c r="J182" s="351">
        <f>IF(G182=2,1.2,1)</f>
        <v>1</v>
      </c>
      <c r="K182" s="2"/>
      <c r="L182" s="2"/>
    </row>
    <row r="183" spans="1:12" ht="15" customHeight="1">
      <c r="A183" s="2"/>
      <c r="B183" s="716" t="s">
        <v>576</v>
      </c>
      <c r="C183" s="2"/>
      <c r="D183" s="352" t="s">
        <v>595</v>
      </c>
      <c r="F183" s="353" t="s">
        <v>596</v>
      </c>
      <c r="H183" s="353" t="s">
        <v>597</v>
      </c>
      <c r="J183" s="167" t="s">
        <v>598</v>
      </c>
      <c r="K183" s="80"/>
      <c r="L183" s="2"/>
    </row>
    <row r="184" spans="1:11" ht="15" customHeight="1">
      <c r="A184" s="2"/>
      <c r="B184" s="716"/>
      <c r="C184" s="335" t="s">
        <v>599</v>
      </c>
      <c r="D184" s="335" t="s">
        <v>600</v>
      </c>
      <c r="F184" s="335" t="s">
        <v>601</v>
      </c>
      <c r="H184" s="335" t="s">
        <v>602</v>
      </c>
      <c r="J184" s="335" t="s">
        <v>603</v>
      </c>
      <c r="K184" s="340" t="s">
        <v>604</v>
      </c>
    </row>
    <row r="185" spans="1:11" ht="15" customHeight="1">
      <c r="A185" s="2" t="s">
        <v>214</v>
      </c>
      <c r="B185" s="351">
        <f>+C159</f>
      </c>
      <c r="C185" s="336" t="str">
        <f>J168</f>
        <v>*</v>
      </c>
      <c r="D185" s="354" t="str">
        <f>IF(B185="","*",+G180)</f>
        <v>*</v>
      </c>
      <c r="E185" s="167"/>
      <c r="F185" s="354" t="str">
        <f>IF(B185="","*",J181)</f>
        <v>*</v>
      </c>
      <c r="H185" s="336" t="str">
        <f>IF(B185="","*",H159)</f>
        <v>*</v>
      </c>
      <c r="J185" s="354" t="str">
        <f>IF(B185="","*",IF(G182=2,J182,1))</f>
        <v>*</v>
      </c>
      <c r="K185" s="336">
        <f>IF(OR(B185="",D185="",E191="",D191="",H185=0),"",IF(C185="*","",B185*C185*D185*F185*H185*J185))</f>
      </c>
    </row>
    <row r="186" spans="1:11" ht="15" customHeight="1">
      <c r="A186" s="2" t="s">
        <v>211</v>
      </c>
      <c r="B186" s="351">
        <f>+C160</f>
      </c>
      <c r="C186" s="336" t="str">
        <f>J171</f>
        <v>*</v>
      </c>
      <c r="D186" s="354" t="str">
        <f>IF(B186="","*",+G180)</f>
        <v>*</v>
      </c>
      <c r="F186" s="354" t="str">
        <f>IF(B186="","*",J181)</f>
        <v>*</v>
      </c>
      <c r="H186" s="157">
        <f>IF(B185="",1,H160)</f>
        <v>1</v>
      </c>
      <c r="J186" s="354" t="str">
        <f>IF(B186="","*",IF(G182=2,J182,1))</f>
        <v>*</v>
      </c>
      <c r="K186" s="336">
        <f>IF(OR(B186="",D186="",H187=0),"",IF(C186="*","",IF(B186*C186*D186*F186*H186*J186=0,"",B186*C186*D186*F186*H186*J186)))</f>
      </c>
    </row>
    <row r="187" spans="1:11" ht="15" customHeight="1">
      <c r="A187" s="3" t="s">
        <v>212</v>
      </c>
      <c r="B187" s="168">
        <f>+C161</f>
      </c>
      <c r="C187" s="355" t="str">
        <f>IF(G182=2,0,J176)</f>
        <v>*</v>
      </c>
      <c r="D187" s="168" t="str">
        <f>IF(B187="","*",+G180)</f>
        <v>*</v>
      </c>
      <c r="F187" s="168" t="str">
        <f>IF(B187="","*",J181)</f>
        <v>*</v>
      </c>
      <c r="H187" s="61">
        <f>IF(B186="",1,H161)</f>
        <v>1</v>
      </c>
      <c r="J187" s="168" t="str">
        <f>IF(B187="","*",1)</f>
        <v>*</v>
      </c>
      <c r="K187" s="355">
        <f>IF(G182=2,"",IF(OR(B187="",D187=""),"",IF(C187="*","",IF(B187*C187*D187*F187*H187*J187=0,"",B187*C187*D187*F187*H187*J187))))</f>
      </c>
    </row>
    <row r="188" spans="1:11" ht="15" customHeight="1">
      <c r="A188" s="161" t="s">
        <v>605</v>
      </c>
      <c r="B188" s="161"/>
      <c r="C188" s="356"/>
      <c r="D188" s="356"/>
      <c r="E188" s="356"/>
      <c r="F188" s="784" t="s">
        <v>606</v>
      </c>
      <c r="G188" s="787"/>
      <c r="H188" s="788"/>
      <c r="I188" s="161"/>
      <c r="J188" s="161"/>
      <c r="K188" s="356" t="s">
        <v>309</v>
      </c>
    </row>
    <row r="189" spans="1:11" ht="15" customHeight="1">
      <c r="A189" s="356"/>
      <c r="B189" s="356"/>
      <c r="C189" s="500" t="s">
        <v>607</v>
      </c>
      <c r="D189" s="500" t="s">
        <v>608</v>
      </c>
      <c r="E189" s="500" t="s">
        <v>609</v>
      </c>
      <c r="F189" s="785"/>
      <c r="G189" s="782"/>
      <c r="H189" s="789"/>
      <c r="I189" s="787"/>
      <c r="J189" s="501" t="s">
        <v>610</v>
      </c>
      <c r="K189" s="783" t="s">
        <v>611</v>
      </c>
    </row>
    <row r="190" spans="1:11" ht="15" customHeight="1">
      <c r="A190" s="170" t="s">
        <v>612</v>
      </c>
      <c r="B190" s="170" t="s">
        <v>613</v>
      </c>
      <c r="C190" s="501"/>
      <c r="D190" s="501"/>
      <c r="E190" s="501"/>
      <c r="F190" s="786"/>
      <c r="G190" s="782"/>
      <c r="H190" s="790"/>
      <c r="I190" s="782"/>
      <c r="J190" s="782"/>
      <c r="K190" s="782"/>
    </row>
    <row r="191" spans="1:11" ht="15" customHeight="1">
      <c r="A191" s="356">
        <v>3</v>
      </c>
      <c r="B191" s="161" t="s">
        <v>614</v>
      </c>
      <c r="C191" s="162">
        <f aca="true" t="shared" si="7" ref="C191:C196">+D31</f>
        <v>0</v>
      </c>
      <c r="D191" s="162">
        <f aca="true" t="shared" si="8" ref="D191:D196">IF(E31="","",E31)</f>
      </c>
      <c r="E191" s="162">
        <f aca="true" t="shared" si="9" ref="E191:E196">+G31</f>
      </c>
      <c r="F191" s="169">
        <f>+K185</f>
      </c>
      <c r="G191" s="169"/>
      <c r="H191" s="357"/>
      <c r="I191" s="313"/>
      <c r="J191" s="313">
        <f>IF(OR(C191="",D191="",E191="",F191=""),"",C191*D191*E191)</f>
      </c>
      <c r="K191" s="313">
        <f>IF(OR(F191="",J191=""),"",+ROUNDDOWN(J191/F191,2))</f>
      </c>
    </row>
    <row r="192" spans="1:11" ht="15" customHeight="1">
      <c r="A192" s="170"/>
      <c r="B192" s="161" t="s">
        <v>615</v>
      </c>
      <c r="C192" s="162">
        <f t="shared" si="7"/>
        <v>0</v>
      </c>
      <c r="D192" s="162">
        <f t="shared" si="8"/>
      </c>
      <c r="E192" s="162">
        <f t="shared" si="9"/>
      </c>
      <c r="F192" s="169">
        <f>+K185</f>
      </c>
      <c r="G192" s="169"/>
      <c r="H192" s="357"/>
      <c r="I192" s="313"/>
      <c r="J192" s="313">
        <f>IF(OR(C192="",D192="",E192="",F192=""),"",C192*D192*E192)</f>
      </c>
      <c r="K192" s="313">
        <f>IF(OR(F192="",J192=""),"",+ROUNDDOWN(J192/F192,2))</f>
      </c>
    </row>
    <row r="193" spans="1:11" ht="15" customHeight="1">
      <c r="A193" s="356">
        <v>2</v>
      </c>
      <c r="B193" s="161" t="s">
        <v>614</v>
      </c>
      <c r="C193" s="162">
        <f t="shared" si="7"/>
        <v>0</v>
      </c>
      <c r="D193" s="162">
        <f t="shared" si="8"/>
      </c>
      <c r="E193" s="162">
        <f t="shared" si="9"/>
      </c>
      <c r="F193" s="169">
        <f>+K186</f>
      </c>
      <c r="G193" s="169"/>
      <c r="H193" s="357"/>
      <c r="I193" s="313"/>
      <c r="J193" s="313">
        <f>IF(OR(C193="",D193="",E193="",F193=""),"",C193*D193*E193)</f>
      </c>
      <c r="K193" s="313">
        <f>IF(OR(F193="",J193=""),"",+ROUNDDOWN(J193/F193,2))</f>
      </c>
    </row>
    <row r="194" spans="1:11" ht="15" customHeight="1">
      <c r="A194" s="170"/>
      <c r="B194" s="161" t="s">
        <v>615</v>
      </c>
      <c r="C194" s="162">
        <f t="shared" si="7"/>
        <v>0</v>
      </c>
      <c r="D194" s="162">
        <f t="shared" si="8"/>
      </c>
      <c r="E194" s="162">
        <f t="shared" si="9"/>
      </c>
      <c r="F194" s="169">
        <f>+K186</f>
      </c>
      <c r="G194" s="169"/>
      <c r="H194" s="357"/>
      <c r="I194" s="313"/>
      <c r="J194" s="313">
        <f>IF(OR(C194="",D194="",E194="",F194=""),"",C194*D194*E194)</f>
      </c>
      <c r="K194" s="313">
        <f>IF(OR(J194="",F194=""),"",+ROUNDDOWN(J194/F194,2))</f>
      </c>
    </row>
    <row r="195" spans="1:11" ht="15" customHeight="1">
      <c r="A195" s="356">
        <v>1</v>
      </c>
      <c r="B195" s="161" t="s">
        <v>614</v>
      </c>
      <c r="C195" s="162">
        <f t="shared" si="7"/>
        <v>0</v>
      </c>
      <c r="D195" s="162">
        <f t="shared" si="8"/>
      </c>
      <c r="E195" s="162">
        <f t="shared" si="9"/>
        <v>1</v>
      </c>
      <c r="F195" s="357">
        <f>IF(G182=2,"",+K187)</f>
      </c>
      <c r="G195" s="169"/>
      <c r="H195" s="169"/>
      <c r="I195" s="313"/>
      <c r="J195" s="313">
        <f>IF(G182=2,"",IF(F195="","",IF(OR(C195="",D195="",E195=""),"",+C195*D195*E195)))</f>
      </c>
      <c r="K195" s="313">
        <f>IF(G182=2,"",IF(OR(F195="",J195=""),"",ROUNDDOWN(J195/F195,2)))</f>
      </c>
    </row>
    <row r="196" spans="1:11" ht="15" customHeight="1">
      <c r="A196" s="170"/>
      <c r="B196" s="161" t="s">
        <v>615</v>
      </c>
      <c r="C196" s="162">
        <f t="shared" si="7"/>
        <v>0</v>
      </c>
      <c r="D196" s="162">
        <f t="shared" si="8"/>
      </c>
      <c r="E196" s="162">
        <f t="shared" si="9"/>
        <v>1</v>
      </c>
      <c r="F196" s="357">
        <f>+F195</f>
      </c>
      <c r="G196" s="169"/>
      <c r="H196" s="169"/>
      <c r="I196" s="313"/>
      <c r="J196" s="313">
        <f>IF(G182=2,"",IF(F196="","",IF(OR(C196="",D196="",E196=""),"",C196*D196*E196)))</f>
      </c>
      <c r="K196" s="313">
        <f>IF(G182=2,"",IF(OR(F196="",J196=""),"",ROUNDDOWN(J196/F196,2)))</f>
      </c>
    </row>
  </sheetData>
  <sheetProtection sheet="1" formatCells="0" formatColumns="0" formatRows="0"/>
  <mergeCells count="181">
    <mergeCell ref="A3:K3"/>
    <mergeCell ref="B48:K48"/>
    <mergeCell ref="A39:A48"/>
    <mergeCell ref="B39:K39"/>
    <mergeCell ref="B40:K40"/>
    <mergeCell ref="B41:K41"/>
    <mergeCell ref="B42:K42"/>
    <mergeCell ref="B43:K43"/>
    <mergeCell ref="B44:K44"/>
    <mergeCell ref="B45:K45"/>
    <mergeCell ref="A13:B13"/>
    <mergeCell ref="D13:E13"/>
    <mergeCell ref="G13:H13"/>
    <mergeCell ref="A26:B26"/>
    <mergeCell ref="D26:E26"/>
    <mergeCell ref="E20:F20"/>
    <mergeCell ref="H20:I20"/>
    <mergeCell ref="A22:A23"/>
    <mergeCell ref="B22:B23"/>
    <mergeCell ref="E19:F19"/>
    <mergeCell ref="D147:D148"/>
    <mergeCell ref="D73:E73"/>
    <mergeCell ref="F73:G73"/>
    <mergeCell ref="H73:I73"/>
    <mergeCell ref="H24:J24"/>
    <mergeCell ref="H37:J37"/>
    <mergeCell ref="I147:I148"/>
    <mergeCell ref="F146:F148"/>
    <mergeCell ref="B46:K46"/>
    <mergeCell ref="B47:K47"/>
    <mergeCell ref="G146:G148"/>
    <mergeCell ref="G26:H26"/>
    <mergeCell ref="H19:I19"/>
    <mergeCell ref="A20:A21"/>
    <mergeCell ref="B20:B21"/>
    <mergeCell ref="B141:B142"/>
    <mergeCell ref="B131:C131"/>
    <mergeCell ref="A134:B134"/>
    <mergeCell ref="A109:K110"/>
    <mergeCell ref="H146:H148"/>
    <mergeCell ref="C147:C148"/>
    <mergeCell ref="E147:E148"/>
    <mergeCell ref="J73:K73"/>
    <mergeCell ref="D74:E74"/>
    <mergeCell ref="F74:G74"/>
    <mergeCell ref="H74:I74"/>
    <mergeCell ref="J74:K74"/>
    <mergeCell ref="K147:K148"/>
    <mergeCell ref="J147:J148"/>
    <mergeCell ref="B104:K105"/>
    <mergeCell ref="F69:G69"/>
    <mergeCell ref="H69:I69"/>
    <mergeCell ref="J69:K69"/>
    <mergeCell ref="N71:O71"/>
    <mergeCell ref="D72:E72"/>
    <mergeCell ref="F72:G72"/>
    <mergeCell ref="H72:I72"/>
    <mergeCell ref="J72:K72"/>
    <mergeCell ref="D69:E69"/>
    <mergeCell ref="D67:E67"/>
    <mergeCell ref="F67:G67"/>
    <mergeCell ref="H67:I67"/>
    <mergeCell ref="J67:K67"/>
    <mergeCell ref="H68:I68"/>
    <mergeCell ref="J68:K68"/>
    <mergeCell ref="H63:I63"/>
    <mergeCell ref="J63:K63"/>
    <mergeCell ref="B64:C64"/>
    <mergeCell ref="H64:I64"/>
    <mergeCell ref="J64:K64"/>
    <mergeCell ref="N66:O66"/>
    <mergeCell ref="N61:O61"/>
    <mergeCell ref="B62:C62"/>
    <mergeCell ref="D62:E62"/>
    <mergeCell ref="F62:G62"/>
    <mergeCell ref="H62:I62"/>
    <mergeCell ref="J62:K62"/>
    <mergeCell ref="B58:C58"/>
    <mergeCell ref="D58:E58"/>
    <mergeCell ref="F58:G58"/>
    <mergeCell ref="D64:E64"/>
    <mergeCell ref="F64:G64"/>
    <mergeCell ref="D68:E68"/>
    <mergeCell ref="F68:G68"/>
    <mergeCell ref="B59:C59"/>
    <mergeCell ref="D59:E59"/>
    <mergeCell ref="D63:E63"/>
    <mergeCell ref="N56:O56"/>
    <mergeCell ref="B57:C57"/>
    <mergeCell ref="D57:E57"/>
    <mergeCell ref="F57:G57"/>
    <mergeCell ref="H57:I57"/>
    <mergeCell ref="J57:K57"/>
    <mergeCell ref="J22:J23"/>
    <mergeCell ref="E23:F23"/>
    <mergeCell ref="H23:I23"/>
    <mergeCell ref="E21:F21"/>
    <mergeCell ref="H21:I21"/>
    <mergeCell ref="J20:J21"/>
    <mergeCell ref="E22:F22"/>
    <mergeCell ref="H22:I22"/>
    <mergeCell ref="G15:G17"/>
    <mergeCell ref="H15:I17"/>
    <mergeCell ref="J15:J17"/>
    <mergeCell ref="A16:A17"/>
    <mergeCell ref="K16:K17"/>
    <mergeCell ref="A18:A19"/>
    <mergeCell ref="B18:B19"/>
    <mergeCell ref="E18:F18"/>
    <mergeCell ref="H18:I18"/>
    <mergeCell ref="J18:J19"/>
    <mergeCell ref="J6:J7"/>
    <mergeCell ref="J13:K13"/>
    <mergeCell ref="J26:K26"/>
    <mergeCell ref="A9:C9"/>
    <mergeCell ref="B10:C10"/>
    <mergeCell ref="F11:K11"/>
    <mergeCell ref="B11:C11"/>
    <mergeCell ref="B15:B17"/>
    <mergeCell ref="D15:D16"/>
    <mergeCell ref="E15:F17"/>
    <mergeCell ref="J28:J30"/>
    <mergeCell ref="J1:K1"/>
    <mergeCell ref="H2:K2"/>
    <mergeCell ref="K6:K7"/>
    <mergeCell ref="A6:D6"/>
    <mergeCell ref="B7:D7"/>
    <mergeCell ref="B8:D8"/>
    <mergeCell ref="F6:F7"/>
    <mergeCell ref="H6:H7"/>
    <mergeCell ref="I6:I7"/>
    <mergeCell ref="J33:J34"/>
    <mergeCell ref="B28:B30"/>
    <mergeCell ref="D28:D29"/>
    <mergeCell ref="A29:A30"/>
    <mergeCell ref="K29:K30"/>
    <mergeCell ref="A31:A32"/>
    <mergeCell ref="B31:B32"/>
    <mergeCell ref="E31:F31"/>
    <mergeCell ref="H31:I31"/>
    <mergeCell ref="J31:J32"/>
    <mergeCell ref="H32:I32"/>
    <mergeCell ref="E28:F30"/>
    <mergeCell ref="G28:G30"/>
    <mergeCell ref="H28:I30"/>
    <mergeCell ref="A33:A34"/>
    <mergeCell ref="B33:B34"/>
    <mergeCell ref="E33:F33"/>
    <mergeCell ref="H33:I33"/>
    <mergeCell ref="E32:F32"/>
    <mergeCell ref="E34:F34"/>
    <mergeCell ref="H34:I34"/>
    <mergeCell ref="E50:G50"/>
    <mergeCell ref="B173:C173"/>
    <mergeCell ref="A176:B176"/>
    <mergeCell ref="A35:A36"/>
    <mergeCell ref="B35:B36"/>
    <mergeCell ref="E35:F35"/>
    <mergeCell ref="H35:I35"/>
    <mergeCell ref="H59:I59"/>
    <mergeCell ref="H58:I58"/>
    <mergeCell ref="F59:G59"/>
    <mergeCell ref="C189:C190"/>
    <mergeCell ref="D189:D190"/>
    <mergeCell ref="E189:E190"/>
    <mergeCell ref="I189:I190"/>
    <mergeCell ref="J189:J190"/>
    <mergeCell ref="J59:K59"/>
    <mergeCell ref="B63:C63"/>
    <mergeCell ref="B183:B184"/>
    <mergeCell ref="F63:G63"/>
    <mergeCell ref="A4:K5"/>
    <mergeCell ref="G6:G7"/>
    <mergeCell ref="K189:K190"/>
    <mergeCell ref="F188:F190"/>
    <mergeCell ref="G188:G190"/>
    <mergeCell ref="H188:H190"/>
    <mergeCell ref="J35:J36"/>
    <mergeCell ref="E36:F36"/>
    <mergeCell ref="H36:I36"/>
    <mergeCell ref="J58:K58"/>
  </mergeCells>
  <printOptions/>
  <pageMargins left="0.984251968503937" right="0.5905511811023623" top="0.5905511811023623" bottom="0.5905511811023623" header="0.31496062992125984" footer="0.31496062992125984"/>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Z87"/>
  <sheetViews>
    <sheetView zoomScalePageLayoutView="0" workbookViewId="0" topLeftCell="A1">
      <selection activeCell="N12" sqref="N12"/>
    </sheetView>
  </sheetViews>
  <sheetFormatPr defaultColWidth="5.77734375" defaultRowHeight="15" customHeight="1"/>
  <cols>
    <col min="1" max="1" width="5.3359375" style="3" customWidth="1"/>
    <col min="2" max="4" width="5.77734375" style="3" customWidth="1"/>
    <col min="5" max="5" width="5.88671875" style="3" customWidth="1"/>
    <col min="6" max="11" width="5.77734375" style="3" customWidth="1"/>
    <col min="12" max="12" width="7.5546875" style="3" bestFit="1" customWidth="1"/>
    <col min="13" max="16384" width="5.77734375" style="3" customWidth="1"/>
  </cols>
  <sheetData>
    <row r="1" spans="1:15" ht="15" customHeight="1">
      <c r="A1" s="92" t="s">
        <v>128</v>
      </c>
      <c r="J1" s="76" t="s">
        <v>64</v>
      </c>
      <c r="K1" s="470">
        <v>45474</v>
      </c>
      <c r="L1" s="471"/>
      <c r="O1" s="3" t="s">
        <v>169</v>
      </c>
    </row>
    <row r="2" spans="4:15" ht="15" customHeight="1">
      <c r="D2" s="1"/>
      <c r="F2" s="1"/>
      <c r="G2" s="2"/>
      <c r="I2" s="472">
        <f>+IF('表紙'!I5=0,"",'表紙'!I5)</f>
      </c>
      <c r="J2" s="473"/>
      <c r="K2" s="473"/>
      <c r="L2" s="474"/>
      <c r="O2" s="3" t="s">
        <v>166</v>
      </c>
    </row>
    <row r="3" spans="1:15" ht="15" customHeight="1">
      <c r="A3" s="484" t="s">
        <v>93</v>
      </c>
      <c r="B3" s="484"/>
      <c r="C3" s="484"/>
      <c r="D3" s="484"/>
      <c r="E3" s="484"/>
      <c r="F3" s="484"/>
      <c r="G3" s="484"/>
      <c r="H3" s="484"/>
      <c r="I3" s="484"/>
      <c r="J3" s="484"/>
      <c r="K3" s="484"/>
      <c r="L3" s="484"/>
      <c r="O3" s="3" t="s">
        <v>168</v>
      </c>
    </row>
    <row r="4" spans="1:15" ht="15" customHeight="1">
      <c r="A4" s="484" t="s">
        <v>522</v>
      </c>
      <c r="B4" s="484"/>
      <c r="C4" s="484"/>
      <c r="D4" s="484"/>
      <c r="E4" s="484"/>
      <c r="F4" s="484"/>
      <c r="G4" s="484"/>
      <c r="H4" s="484"/>
      <c r="I4" s="484"/>
      <c r="J4" s="484"/>
      <c r="K4" s="484"/>
      <c r="L4" s="484"/>
      <c r="O4" s="3" t="s">
        <v>167</v>
      </c>
    </row>
    <row r="5" spans="15:18" ht="15" customHeight="1">
      <c r="O5" s="179">
        <f>+チェックリスト!R17</f>
        <v>0</v>
      </c>
      <c r="P5" s="3" t="s">
        <v>244</v>
      </c>
      <c r="R5" s="71" t="s">
        <v>480</v>
      </c>
    </row>
    <row r="6" spans="1:16" ht="15" customHeight="1">
      <c r="A6" s="416" t="s">
        <v>241</v>
      </c>
      <c r="B6" s="417"/>
      <c r="C6" s="416" t="s">
        <v>393</v>
      </c>
      <c r="D6" s="486"/>
      <c r="E6" s="479">
        <f>IF(O5=2,"１階はRC造または鉄骨造",IF(O5=1,"全階木造",""))</f>
      </c>
      <c r="F6" s="480"/>
      <c r="G6" s="480"/>
      <c r="H6" s="480"/>
      <c r="I6" s="480"/>
      <c r="J6" s="480"/>
      <c r="K6" s="480"/>
      <c r="L6" s="481"/>
      <c r="M6" s="76"/>
      <c r="O6" s="3">
        <f>+'総合判定計算書'!O13</f>
        <v>0</v>
      </c>
      <c r="P6" s="3" t="s">
        <v>392</v>
      </c>
    </row>
    <row r="7" spans="1:17" ht="15" customHeight="1">
      <c r="A7" s="567">
        <f>+K20</f>
      </c>
      <c r="B7" s="568"/>
      <c r="C7" s="487">
        <f>IF(O6=0,"",IF(O6=1,1,0.9))</f>
      </c>
      <c r="D7" s="488"/>
      <c r="E7" s="482" t="s">
        <v>246</v>
      </c>
      <c r="F7" s="483"/>
      <c r="G7" s="475">
        <f>IF(O7=1,"Ⅰ　合板",IF(O7=2,"Ⅱ　火打ち＋荒板",IF(O7=3,"Ⅲ　火打ちなし",IF(O7=4,"Ⅲ　火打ちなし",""))))</f>
      </c>
      <c r="H7" s="476"/>
      <c r="I7" s="476"/>
      <c r="J7" s="477">
        <f>IF(P7=1,"4ｍ以上の吹抜け無し",IF(P7=2,"4ｍ以上の吹抜け有り",""))</f>
      </c>
      <c r="K7" s="477"/>
      <c r="L7" s="478"/>
      <c r="M7" s="76"/>
      <c r="N7" s="161"/>
      <c r="O7" s="161">
        <f>+チェックリスト!R90</f>
        <v>0</v>
      </c>
      <c r="P7" s="161">
        <f>+チェックリスト!R95</f>
        <v>0</v>
      </c>
      <c r="Q7" s="3" t="s">
        <v>394</v>
      </c>
    </row>
    <row r="8" spans="1:17" ht="15" customHeight="1">
      <c r="A8" s="420"/>
      <c r="B8" s="421"/>
      <c r="C8" s="489"/>
      <c r="D8" s="490"/>
      <c r="E8" s="494" t="s">
        <v>276</v>
      </c>
      <c r="F8" s="495"/>
      <c r="G8" s="491">
        <f>IF(O8=1,"Ⅰ　平12建告1460号に適合する仕様",IF(O8=2,"Ⅱ　羽子板ボルト,VP,CP-T,CP-L,込み栓",IF(O8=3,"Ⅲ　ほぞ差,釘打ち,かすがい(両端通し柱)",IF(O8=4,"Ⅳ　ほぞ差し、釘打ち、かすがい等",IF(O8=5,"金物は不明でありⅣとして診断","")))))</f>
      </c>
      <c r="H8" s="492"/>
      <c r="I8" s="492"/>
      <c r="J8" s="492"/>
      <c r="K8" s="492"/>
      <c r="L8" s="493"/>
      <c r="M8" s="76"/>
      <c r="O8" s="161">
        <f>+チェックリスト!T90</f>
        <v>0</v>
      </c>
      <c r="Q8" s="3" t="s">
        <v>276</v>
      </c>
    </row>
    <row r="9" ht="15" customHeight="1">
      <c r="M9" s="76"/>
    </row>
    <row r="10" spans="1:15" ht="15" customHeight="1">
      <c r="A10" s="516" t="s">
        <v>242</v>
      </c>
      <c r="B10" s="559"/>
      <c r="C10" s="78">
        <f>+IF(A7="","",IF(A7&gt;=1.5,"○",""))</f>
      </c>
      <c r="D10" s="6" t="s">
        <v>61</v>
      </c>
      <c r="E10" s="6"/>
      <c r="F10" s="6"/>
      <c r="G10" s="16" t="s">
        <v>278</v>
      </c>
      <c r="H10" s="6"/>
      <c r="I10" s="6"/>
      <c r="J10" s="6"/>
      <c r="K10" s="6"/>
      <c r="L10" s="17"/>
      <c r="M10" s="13"/>
      <c r="O10" s="3" t="s">
        <v>170</v>
      </c>
    </row>
    <row r="11" spans="1:15" ht="15" customHeight="1">
      <c r="A11" s="560"/>
      <c r="B11" s="561"/>
      <c r="C11" s="79">
        <f>+IF(A7&gt;=1,IF(A7&lt;1.5,"○",""),"")</f>
      </c>
      <c r="D11" s="19" t="s">
        <v>60</v>
      </c>
      <c r="E11" s="19"/>
      <c r="F11" s="19"/>
      <c r="G11" s="18" t="s">
        <v>279</v>
      </c>
      <c r="H11" s="19"/>
      <c r="I11" s="19"/>
      <c r="J11" s="19"/>
      <c r="K11" s="19"/>
      <c r="L11" s="20"/>
      <c r="M11" s="13"/>
      <c r="O11" s="3" t="s">
        <v>171</v>
      </c>
    </row>
    <row r="12" spans="1:18" ht="15" customHeight="1">
      <c r="A12" s="560"/>
      <c r="B12" s="561"/>
      <c r="C12" s="79">
        <f>+IF(A7&gt;=0.7,IF(A7&lt;1,"○",""),"")</f>
      </c>
      <c r="D12" s="19" t="s">
        <v>62</v>
      </c>
      <c r="E12" s="19"/>
      <c r="F12" s="19"/>
      <c r="G12" s="18" t="s">
        <v>280</v>
      </c>
      <c r="H12" s="19"/>
      <c r="I12" s="19"/>
      <c r="J12" s="19"/>
      <c r="K12" s="19"/>
      <c r="L12" s="20"/>
      <c r="M12" s="13"/>
      <c r="Q12" s="80"/>
      <c r="R12" s="80"/>
    </row>
    <row r="13" spans="1:19" ht="15" customHeight="1">
      <c r="A13" s="562"/>
      <c r="B13" s="563"/>
      <c r="C13" s="105">
        <f>+IF(A7&lt;0.7,"○","")</f>
      </c>
      <c r="D13" s="4" t="s">
        <v>63</v>
      </c>
      <c r="E13" s="4"/>
      <c r="F13" s="4"/>
      <c r="G13" s="103" t="s">
        <v>281</v>
      </c>
      <c r="H13" s="104"/>
      <c r="I13" s="104"/>
      <c r="J13" s="4"/>
      <c r="K13" s="4"/>
      <c r="L13" s="11"/>
      <c r="M13" s="13"/>
      <c r="S13" s="3" t="s">
        <v>708</v>
      </c>
    </row>
    <row r="14" spans="15:20" ht="15" customHeight="1">
      <c r="O14" s="72"/>
      <c r="T14" s="72" t="s">
        <v>709</v>
      </c>
    </row>
    <row r="15" spans="1:19" ht="15" customHeight="1">
      <c r="A15" s="534" t="s">
        <v>319</v>
      </c>
      <c r="B15" s="564" t="s">
        <v>107</v>
      </c>
      <c r="C15" s="502" t="s">
        <v>400</v>
      </c>
      <c r="D15" s="503"/>
      <c r="E15" s="513" t="s">
        <v>407</v>
      </c>
      <c r="F15" s="499" t="s">
        <v>408</v>
      </c>
      <c r="G15" s="507" t="s">
        <v>406</v>
      </c>
      <c r="H15" s="508"/>
      <c r="I15" s="502" t="s">
        <v>238</v>
      </c>
      <c r="J15" s="503"/>
      <c r="K15" s="502" t="s">
        <v>239</v>
      </c>
      <c r="L15" s="577"/>
      <c r="S15" s="3" t="s">
        <v>711</v>
      </c>
    </row>
    <row r="16" spans="1:19" ht="15" customHeight="1">
      <c r="A16" s="535"/>
      <c r="B16" s="565"/>
      <c r="C16" s="504"/>
      <c r="D16" s="505"/>
      <c r="E16" s="514"/>
      <c r="F16" s="500"/>
      <c r="G16" s="509"/>
      <c r="H16" s="510"/>
      <c r="I16" s="504"/>
      <c r="J16" s="505"/>
      <c r="K16" s="504"/>
      <c r="L16" s="578"/>
      <c r="S16" s="3" t="s">
        <v>715</v>
      </c>
    </row>
    <row r="17" spans="1:20" ht="15" customHeight="1">
      <c r="A17" s="536"/>
      <c r="B17" s="566"/>
      <c r="C17" s="485" t="s">
        <v>405</v>
      </c>
      <c r="D17" s="485"/>
      <c r="E17" s="515"/>
      <c r="F17" s="501"/>
      <c r="G17" s="511"/>
      <c r="H17" s="512"/>
      <c r="I17" s="485" t="s">
        <v>240</v>
      </c>
      <c r="J17" s="485"/>
      <c r="K17" s="485" t="s">
        <v>409</v>
      </c>
      <c r="L17" s="571"/>
      <c r="T17" s="3" t="s">
        <v>713</v>
      </c>
    </row>
    <row r="18" spans="1:19" ht="15" customHeight="1">
      <c r="A18" s="536"/>
      <c r="B18" s="203" t="s">
        <v>233</v>
      </c>
      <c r="C18" s="441">
        <f>IF(+'総合判定計算書'!B91=0,"",'総合判定計算書'!B91)</f>
      </c>
      <c r="D18" s="441"/>
      <c r="E18" s="162">
        <f>IF('総合判定計算書'!D91="","",'総合判定計算書'!D91)</f>
      </c>
      <c r="F18" s="162">
        <f>IF('総合判定計算書'!E91="","",'総合判定計算書'!E91)</f>
      </c>
      <c r="G18" s="442">
        <f>IF('総合判定計算書'!F91=0,"",'総合判定計算書'!F91)</f>
      </c>
      <c r="H18" s="572"/>
      <c r="I18" s="573">
        <f>IF('総合判定計算書'!H91=0,"",'総合判定計算書'!H91)</f>
      </c>
      <c r="J18" s="574"/>
      <c r="K18" s="442">
        <f>IF('総合判定計算書'!J91=0,"",'総合判定計算書'!J91)</f>
      </c>
      <c r="L18" s="443"/>
      <c r="S18" s="3" t="s">
        <v>714</v>
      </c>
    </row>
    <row r="19" spans="1:19" ht="15" customHeight="1">
      <c r="A19" s="537"/>
      <c r="B19" s="211" t="s">
        <v>234</v>
      </c>
      <c r="C19" s="446">
        <f>IF(+'総合判定計算書'!B92=0,"",'総合判定計算書'!B92)</f>
      </c>
      <c r="D19" s="446"/>
      <c r="E19" s="180">
        <f>IF('総合判定計算書'!D92="","",'総合判定計算書'!D92)</f>
      </c>
      <c r="F19" s="180">
        <f>IF('総合判定計算書'!E92="","",'総合判定計算書'!E92)</f>
      </c>
      <c r="G19" s="533">
        <f>IF('総合判定計算書'!F92=0,"",'総合判定計算書'!F92)</f>
      </c>
      <c r="H19" s="570"/>
      <c r="I19" s="575"/>
      <c r="J19" s="576"/>
      <c r="K19" s="533">
        <f>IF('総合判定計算書'!J92=0,"",'総合判定計算書'!J92)</f>
      </c>
      <c r="L19" s="495"/>
      <c r="S19" s="3" t="s">
        <v>720</v>
      </c>
    </row>
    <row r="20" spans="9:19" ht="15" customHeight="1">
      <c r="I20" s="468" t="s">
        <v>243</v>
      </c>
      <c r="J20" s="468"/>
      <c r="K20" s="569">
        <f>IF(N20=0,"",N20)</f>
      </c>
      <c r="L20" s="569"/>
      <c r="N20" s="257">
        <f>IF(K18="","",MIN(K18,K19))</f>
      </c>
      <c r="O20" s="178"/>
      <c r="S20" s="3" t="s">
        <v>718</v>
      </c>
    </row>
    <row r="21" spans="9:15" ht="15" customHeight="1">
      <c r="I21" s="167"/>
      <c r="J21" s="167"/>
      <c r="K21" s="178"/>
      <c r="L21" s="178"/>
      <c r="N21" s="178"/>
      <c r="O21" s="178"/>
    </row>
    <row r="22" spans="1:19" ht="15" customHeight="1">
      <c r="A22" s="516" t="s">
        <v>391</v>
      </c>
      <c r="B22" s="517"/>
      <c r="C22" s="517"/>
      <c r="D22" s="517"/>
      <c r="E22" s="518"/>
      <c r="F22" s="449"/>
      <c r="G22" s="525"/>
      <c r="H22" s="525"/>
      <c r="I22" s="525"/>
      <c r="J22" s="525"/>
      <c r="K22" s="525"/>
      <c r="L22" s="526"/>
      <c r="N22" s="178"/>
      <c r="O22" s="178"/>
      <c r="S22" s="3" t="s">
        <v>721</v>
      </c>
    </row>
    <row r="23" spans="1:15" ht="15" customHeight="1">
      <c r="A23" s="519"/>
      <c r="B23" s="520"/>
      <c r="C23" s="520"/>
      <c r="D23" s="520"/>
      <c r="E23" s="521"/>
      <c r="F23" s="527"/>
      <c r="G23" s="528"/>
      <c r="H23" s="528"/>
      <c r="I23" s="528"/>
      <c r="J23" s="528"/>
      <c r="K23" s="528"/>
      <c r="L23" s="529"/>
      <c r="N23" s="178"/>
      <c r="O23" s="178"/>
    </row>
    <row r="24" spans="1:15" ht="15" customHeight="1">
      <c r="A24" s="519"/>
      <c r="B24" s="520"/>
      <c r="C24" s="520"/>
      <c r="D24" s="520"/>
      <c r="E24" s="521"/>
      <c r="F24" s="527"/>
      <c r="G24" s="528"/>
      <c r="H24" s="528"/>
      <c r="I24" s="528"/>
      <c r="J24" s="528"/>
      <c r="K24" s="528"/>
      <c r="L24" s="529"/>
      <c r="N24" s="178"/>
      <c r="O24" s="178"/>
    </row>
    <row r="25" spans="1:15" ht="15" customHeight="1">
      <c r="A25" s="522"/>
      <c r="B25" s="523"/>
      <c r="C25" s="523"/>
      <c r="D25" s="523"/>
      <c r="E25" s="524"/>
      <c r="F25" s="530"/>
      <c r="G25" s="531"/>
      <c r="H25" s="531"/>
      <c r="I25" s="531"/>
      <c r="J25" s="531"/>
      <c r="K25" s="531"/>
      <c r="L25" s="532"/>
      <c r="N25" s="178"/>
      <c r="O25" s="178"/>
    </row>
    <row r="26" spans="1:15" ht="15" customHeight="1">
      <c r="A26" s="557" t="s">
        <v>85</v>
      </c>
      <c r="B26" s="447" t="s">
        <v>436</v>
      </c>
      <c r="C26" s="448"/>
      <c r="D26" s="448"/>
      <c r="E26" s="448"/>
      <c r="F26" s="506"/>
      <c r="G26" s="506"/>
      <c r="H26" s="506"/>
      <c r="I26" s="506"/>
      <c r="J26" s="506"/>
      <c r="K26" s="506"/>
      <c r="L26" s="506"/>
      <c r="N26" s="178"/>
      <c r="O26" s="178"/>
    </row>
    <row r="27" spans="1:15" ht="15" customHeight="1">
      <c r="A27" s="558"/>
      <c r="B27" s="448"/>
      <c r="C27" s="448"/>
      <c r="D27" s="448"/>
      <c r="E27" s="448"/>
      <c r="F27" s="506"/>
      <c r="G27" s="506"/>
      <c r="H27" s="506"/>
      <c r="I27" s="506"/>
      <c r="J27" s="506"/>
      <c r="K27" s="506"/>
      <c r="L27" s="506"/>
      <c r="N27" s="178"/>
      <c r="O27" s="178"/>
    </row>
    <row r="28" spans="1:15" ht="15" customHeight="1">
      <c r="A28" s="558"/>
      <c r="B28" s="448"/>
      <c r="C28" s="448"/>
      <c r="D28" s="448"/>
      <c r="E28" s="448"/>
      <c r="F28" s="506"/>
      <c r="G28" s="506"/>
      <c r="H28" s="506"/>
      <c r="I28" s="506"/>
      <c r="J28" s="506"/>
      <c r="K28" s="506"/>
      <c r="L28" s="506"/>
      <c r="N28" s="178"/>
      <c r="O28" s="178"/>
    </row>
    <row r="29" spans="1:15" ht="15" customHeight="1">
      <c r="A29" s="558"/>
      <c r="B29" s="448"/>
      <c r="C29" s="448"/>
      <c r="D29" s="448"/>
      <c r="E29" s="448"/>
      <c r="F29" s="506"/>
      <c r="G29" s="506"/>
      <c r="H29" s="506"/>
      <c r="I29" s="506"/>
      <c r="J29" s="506"/>
      <c r="K29" s="506"/>
      <c r="L29" s="506"/>
      <c r="N29" s="178"/>
      <c r="O29" s="178"/>
    </row>
    <row r="30" spans="1:15" ht="15" customHeight="1">
      <c r="A30" s="558"/>
      <c r="B30" s="447" t="s">
        <v>437</v>
      </c>
      <c r="C30" s="448"/>
      <c r="D30" s="448"/>
      <c r="E30" s="448"/>
      <c r="F30" s="506"/>
      <c r="G30" s="506"/>
      <c r="H30" s="506"/>
      <c r="I30" s="506"/>
      <c r="J30" s="506"/>
      <c r="K30" s="506"/>
      <c r="L30" s="506"/>
      <c r="N30" s="178"/>
      <c r="O30" s="178"/>
    </row>
    <row r="31" spans="1:15" ht="15" customHeight="1">
      <c r="A31" s="558"/>
      <c r="B31" s="448"/>
      <c r="C31" s="448"/>
      <c r="D31" s="448"/>
      <c r="E31" s="448"/>
      <c r="F31" s="506"/>
      <c r="G31" s="506"/>
      <c r="H31" s="506"/>
      <c r="I31" s="506"/>
      <c r="J31" s="506"/>
      <c r="K31" s="506"/>
      <c r="L31" s="506"/>
      <c r="N31" s="178"/>
      <c r="O31" s="178"/>
    </row>
    <row r="32" spans="1:15" ht="15" customHeight="1">
      <c r="A32" s="558"/>
      <c r="B32" s="448"/>
      <c r="C32" s="448"/>
      <c r="D32" s="448"/>
      <c r="E32" s="448"/>
      <c r="F32" s="506"/>
      <c r="G32" s="506"/>
      <c r="H32" s="506"/>
      <c r="I32" s="506"/>
      <c r="J32" s="506"/>
      <c r="K32" s="506"/>
      <c r="L32" s="506"/>
      <c r="N32" s="178"/>
      <c r="O32" s="178"/>
    </row>
    <row r="33" spans="1:15" ht="15" customHeight="1">
      <c r="A33" s="558"/>
      <c r="B33" s="448"/>
      <c r="C33" s="448"/>
      <c r="D33" s="448"/>
      <c r="E33" s="448"/>
      <c r="F33" s="506"/>
      <c r="G33" s="506"/>
      <c r="H33" s="506"/>
      <c r="I33" s="506"/>
      <c r="J33" s="506"/>
      <c r="K33" s="506"/>
      <c r="L33" s="506"/>
      <c r="N33" s="178"/>
      <c r="O33" s="178"/>
    </row>
    <row r="34" spans="1:15" ht="15" customHeight="1">
      <c r="A34" s="558"/>
      <c r="B34" s="447" t="s">
        <v>438</v>
      </c>
      <c r="C34" s="469"/>
      <c r="D34" s="469"/>
      <c r="E34" s="469"/>
      <c r="F34" s="506"/>
      <c r="G34" s="506"/>
      <c r="H34" s="506"/>
      <c r="I34" s="506"/>
      <c r="J34" s="506"/>
      <c r="K34" s="506"/>
      <c r="L34" s="506"/>
      <c r="N34" s="178"/>
      <c r="O34" s="178"/>
    </row>
    <row r="35" spans="1:15" ht="15" customHeight="1">
      <c r="A35" s="558"/>
      <c r="B35" s="469"/>
      <c r="C35" s="469"/>
      <c r="D35" s="469"/>
      <c r="E35" s="469"/>
      <c r="F35" s="506"/>
      <c r="G35" s="506"/>
      <c r="H35" s="506"/>
      <c r="I35" s="506"/>
      <c r="J35" s="506"/>
      <c r="K35" s="506"/>
      <c r="L35" s="506"/>
      <c r="N35" s="178"/>
      <c r="O35" s="178"/>
    </row>
    <row r="36" spans="1:17" ht="15" customHeight="1">
      <c r="A36" s="558"/>
      <c r="B36" s="469"/>
      <c r="C36" s="469"/>
      <c r="D36" s="469"/>
      <c r="E36" s="469"/>
      <c r="F36" s="506"/>
      <c r="G36" s="506"/>
      <c r="H36" s="506"/>
      <c r="I36" s="506"/>
      <c r="J36" s="506"/>
      <c r="K36" s="506"/>
      <c r="L36" s="506"/>
      <c r="N36" s="178"/>
      <c r="O36" s="178"/>
      <c r="Q36" s="3" t="s">
        <v>465</v>
      </c>
    </row>
    <row r="37" spans="1:16" ht="15" customHeight="1">
      <c r="A37" s="558"/>
      <c r="B37" s="469"/>
      <c r="C37" s="469"/>
      <c r="D37" s="469"/>
      <c r="E37" s="469"/>
      <c r="F37" s="506"/>
      <c r="G37" s="506"/>
      <c r="H37" s="506"/>
      <c r="I37" s="506"/>
      <c r="J37" s="506"/>
      <c r="K37" s="506"/>
      <c r="L37" s="506"/>
      <c r="P37" s="3" t="s">
        <v>323</v>
      </c>
    </row>
    <row r="38" spans="1:16" ht="15" customHeight="1">
      <c r="A38" s="547" t="s">
        <v>86</v>
      </c>
      <c r="B38" s="549"/>
      <c r="C38" s="547">
        <f>+IF(N39=1,P37,IF(N39=2,P38,IF(N39=3,P39,IF(N39=4,P40,IF(N39=5,P41,IF(N39=6,P42,IF(N39=7,P43,IF(N39=8,P44,""))))))))</f>
      </c>
      <c r="D38" s="548"/>
      <c r="E38" s="549"/>
      <c r="F38" s="449"/>
      <c r="G38" s="450"/>
      <c r="H38" s="450"/>
      <c r="I38" s="450"/>
      <c r="J38" s="450"/>
      <c r="K38" s="450"/>
      <c r="L38" s="451"/>
      <c r="P38" s="3" t="s">
        <v>413</v>
      </c>
    </row>
    <row r="39" spans="1:16" ht="15" customHeight="1">
      <c r="A39" s="550"/>
      <c r="B39" s="552"/>
      <c r="C39" s="550"/>
      <c r="D39" s="551"/>
      <c r="E39" s="552"/>
      <c r="F39" s="452"/>
      <c r="G39" s="467"/>
      <c r="H39" s="467"/>
      <c r="I39" s="467"/>
      <c r="J39" s="467"/>
      <c r="K39" s="467"/>
      <c r="L39" s="454"/>
      <c r="N39" s="161">
        <f>+'総合判定計算書'!O29</f>
        <v>0</v>
      </c>
      <c r="P39" s="82" t="s">
        <v>459</v>
      </c>
    </row>
    <row r="40" spans="1:16" ht="15" customHeight="1">
      <c r="A40" s="550"/>
      <c r="B40" s="552"/>
      <c r="C40" s="550"/>
      <c r="D40" s="551"/>
      <c r="E40" s="552"/>
      <c r="F40" s="452"/>
      <c r="G40" s="467"/>
      <c r="H40" s="467"/>
      <c r="I40" s="467"/>
      <c r="J40" s="467"/>
      <c r="K40" s="467"/>
      <c r="L40" s="454"/>
      <c r="P40" s="82" t="s">
        <v>460</v>
      </c>
    </row>
    <row r="41" spans="1:26" ht="15" customHeight="1">
      <c r="A41" s="553"/>
      <c r="B41" s="555"/>
      <c r="C41" s="553"/>
      <c r="D41" s="554"/>
      <c r="E41" s="555"/>
      <c r="F41" s="455"/>
      <c r="G41" s="456"/>
      <c r="H41" s="456"/>
      <c r="I41" s="456"/>
      <c r="J41" s="456"/>
      <c r="K41" s="456"/>
      <c r="L41" s="457"/>
      <c r="P41" s="82" t="s">
        <v>464</v>
      </c>
      <c r="Q41" s="80"/>
      <c r="R41" s="80"/>
      <c r="S41" s="80"/>
      <c r="T41" s="80"/>
      <c r="U41" s="80"/>
      <c r="V41" s="80"/>
      <c r="W41" s="80"/>
      <c r="X41" s="80"/>
      <c r="Y41" s="80"/>
      <c r="Z41" s="80"/>
    </row>
    <row r="42" spans="1:16" ht="15" customHeight="1">
      <c r="A42" s="547" t="s">
        <v>87</v>
      </c>
      <c r="B42" s="548"/>
      <c r="C42" s="458">
        <f>IF(N42&gt;=9,P46,P45)</f>
      </c>
      <c r="D42" s="459"/>
      <c r="E42" s="460"/>
      <c r="F42" s="449"/>
      <c r="G42" s="450"/>
      <c r="H42" s="450"/>
      <c r="I42" s="450"/>
      <c r="J42" s="450"/>
      <c r="K42" s="450"/>
      <c r="L42" s="451"/>
      <c r="N42" s="161">
        <f>+'総合判定計算書'!O21</f>
        <v>0</v>
      </c>
      <c r="P42" s="3" t="s">
        <v>461</v>
      </c>
    </row>
    <row r="43" spans="1:16" ht="15" customHeight="1">
      <c r="A43" s="550"/>
      <c r="B43" s="556"/>
      <c r="C43" s="461"/>
      <c r="D43" s="462"/>
      <c r="E43" s="463"/>
      <c r="F43" s="452"/>
      <c r="G43" s="467"/>
      <c r="H43" s="467"/>
      <c r="I43" s="467"/>
      <c r="J43" s="467"/>
      <c r="K43" s="467"/>
      <c r="L43" s="454"/>
      <c r="P43" s="3" t="s">
        <v>462</v>
      </c>
    </row>
    <row r="44" spans="1:16" ht="15" customHeight="1">
      <c r="A44" s="550"/>
      <c r="B44" s="556"/>
      <c r="C44" s="461"/>
      <c r="D44" s="462"/>
      <c r="E44" s="463"/>
      <c r="F44" s="452"/>
      <c r="G44" s="467"/>
      <c r="H44" s="467"/>
      <c r="I44" s="467"/>
      <c r="J44" s="467"/>
      <c r="K44" s="467"/>
      <c r="L44" s="454"/>
      <c r="P44" s="3" t="s">
        <v>463</v>
      </c>
    </row>
    <row r="45" spans="1:25" ht="15" customHeight="1">
      <c r="A45" s="550"/>
      <c r="B45" s="556"/>
      <c r="C45" s="464"/>
      <c r="D45" s="465"/>
      <c r="E45" s="466"/>
      <c r="F45" s="452"/>
      <c r="G45" s="467"/>
      <c r="H45" s="467"/>
      <c r="I45" s="467"/>
      <c r="J45" s="467"/>
      <c r="K45" s="467"/>
      <c r="L45" s="454"/>
      <c r="P45" s="496">
        <f>IF(N42=1,"Ⅰ健全な鉄筋コンクリート布基礎",IF(N42=2,"Ⅱひび割れのある鉄筋コンクリート布基礎",IF(N42=3,"Ⅱ健全な無筋コンクリート布基礎",IF(N42=4,"Ⅱ足固め玉石基礎で土間コンクリートと金物で緊結",IF(N42=5,"Ⅱ軽微なひび割れのある無筋コンクリート基礎",IF(N42=6,"Ⅲひび割れのある無筋コンクリート基礎",IF(N42=7,"Ⅲ柱脚に足固めを設けた玉石、石積み、ブロック基礎",IF(N42=8,"その他(玉石、石積み、ブロック）",""))))))))</f>
      </c>
      <c r="Q45" s="497"/>
      <c r="R45" s="497"/>
      <c r="S45" s="497"/>
      <c r="T45" s="497"/>
      <c r="U45" s="497"/>
      <c r="V45" s="497"/>
      <c r="W45" s="497"/>
      <c r="X45" s="498"/>
      <c r="Y45" s="184"/>
    </row>
    <row r="46" spans="1:25" ht="15" customHeight="1">
      <c r="A46" s="538" t="s">
        <v>296</v>
      </c>
      <c r="B46" s="539"/>
      <c r="C46" s="539"/>
      <c r="D46" s="539"/>
      <c r="E46" s="540"/>
      <c r="F46" s="449"/>
      <c r="G46" s="450"/>
      <c r="H46" s="450"/>
      <c r="I46" s="450"/>
      <c r="J46" s="450"/>
      <c r="K46" s="450"/>
      <c r="L46" s="451"/>
      <c r="P46" s="496">
        <f>IF(N42=9,"１階はRCまたは鉄骨造であり、基礎Ⅰ相当とする","")</f>
      </c>
      <c r="Q46" s="497"/>
      <c r="R46" s="497"/>
      <c r="S46" s="497"/>
      <c r="T46" s="497"/>
      <c r="U46" s="497"/>
      <c r="V46" s="497"/>
      <c r="W46" s="497"/>
      <c r="X46" s="498"/>
      <c r="Y46" s="184"/>
    </row>
    <row r="47" spans="1:25" ht="15" customHeight="1">
      <c r="A47" s="541"/>
      <c r="B47" s="542"/>
      <c r="C47" s="542"/>
      <c r="D47" s="542"/>
      <c r="E47" s="543"/>
      <c r="F47" s="452"/>
      <c r="G47" s="453"/>
      <c r="H47" s="453"/>
      <c r="I47" s="453"/>
      <c r="J47" s="453"/>
      <c r="K47" s="453"/>
      <c r="L47" s="454"/>
      <c r="P47" s="82"/>
      <c r="Q47" s="80"/>
      <c r="R47" s="80"/>
      <c r="S47" s="80"/>
      <c r="T47" s="80"/>
      <c r="U47" s="80"/>
      <c r="V47" s="80"/>
      <c r="W47" s="80"/>
      <c r="X47" s="80"/>
      <c r="Y47" s="80"/>
    </row>
    <row r="48" spans="1:12" ht="15" customHeight="1">
      <c r="A48" s="541"/>
      <c r="B48" s="542"/>
      <c r="C48" s="542"/>
      <c r="D48" s="542"/>
      <c r="E48" s="543"/>
      <c r="F48" s="452"/>
      <c r="G48" s="453"/>
      <c r="H48" s="453"/>
      <c r="I48" s="453"/>
      <c r="J48" s="453"/>
      <c r="K48" s="453"/>
      <c r="L48" s="454"/>
    </row>
    <row r="49" spans="1:12" ht="15" customHeight="1">
      <c r="A49" s="544"/>
      <c r="B49" s="545"/>
      <c r="C49" s="545"/>
      <c r="D49" s="545"/>
      <c r="E49" s="546"/>
      <c r="F49" s="455"/>
      <c r="G49" s="456"/>
      <c r="H49" s="456"/>
      <c r="I49" s="456"/>
      <c r="J49" s="456"/>
      <c r="K49" s="456"/>
      <c r="L49" s="457"/>
    </row>
    <row r="50" spans="6:18" ht="15" customHeight="1">
      <c r="F50" s="444" t="s">
        <v>232</v>
      </c>
      <c r="G50" s="445"/>
      <c r="P50" s="267"/>
      <c r="Q50" s="266"/>
      <c r="R50" s="266"/>
    </row>
    <row r="51" spans="16:18" ht="15" customHeight="1">
      <c r="P51" s="266"/>
      <c r="Q51" s="266"/>
      <c r="R51" s="266"/>
    </row>
    <row r="52" spans="1:18" ht="15" customHeight="1">
      <c r="A52" s="3" t="s">
        <v>383</v>
      </c>
      <c r="P52" s="266"/>
      <c r="Q52" s="266"/>
      <c r="R52" s="266"/>
    </row>
    <row r="53" spans="1:18" ht="15" customHeight="1">
      <c r="A53" s="3" t="s">
        <v>439</v>
      </c>
      <c r="P53" s="266"/>
      <c r="Q53" s="266"/>
      <c r="R53" s="266"/>
    </row>
    <row r="54" spans="2:18" ht="15" customHeight="1">
      <c r="B54" s="35" t="s">
        <v>440</v>
      </c>
      <c r="P54" s="266"/>
      <c r="Q54" s="266"/>
      <c r="R54" s="266"/>
    </row>
    <row r="55" spans="2:18" ht="15" customHeight="1">
      <c r="B55" s="35"/>
      <c r="P55" s="266"/>
      <c r="Q55" s="266"/>
      <c r="R55" s="266"/>
    </row>
    <row r="56" spans="2:18" ht="15" customHeight="1">
      <c r="B56" s="35"/>
      <c r="P56" s="266"/>
      <c r="Q56" s="266"/>
      <c r="R56" s="266"/>
    </row>
    <row r="57" spans="2:18" ht="15" customHeight="1">
      <c r="B57" s="35"/>
      <c r="P57" s="266"/>
      <c r="Q57" s="266"/>
      <c r="R57" s="266"/>
    </row>
    <row r="58" spans="1:18" ht="15" customHeight="1">
      <c r="A58" s="3" t="s">
        <v>443</v>
      </c>
      <c r="P58" s="266"/>
      <c r="Q58" s="266"/>
      <c r="R58" s="266"/>
    </row>
    <row r="59" ht="15" customHeight="1">
      <c r="B59" s="35" t="s">
        <v>155</v>
      </c>
    </row>
    <row r="60" ht="15" customHeight="1">
      <c r="B60" s="35"/>
    </row>
    <row r="61" ht="15" customHeight="1">
      <c r="B61" s="35"/>
    </row>
    <row r="62" ht="15" customHeight="1">
      <c r="B62" s="35"/>
    </row>
    <row r="63" spans="1:4" ht="15" customHeight="1">
      <c r="A63" s="249" t="s">
        <v>84</v>
      </c>
      <c r="B63" s="246"/>
      <c r="C63" s="246"/>
      <c r="D63" s="246"/>
    </row>
    <row r="64" spans="1:4" ht="15" customHeight="1">
      <c r="A64" s="249"/>
      <c r="B64" s="35" t="s">
        <v>156</v>
      </c>
      <c r="C64" s="246"/>
      <c r="D64" s="246"/>
    </row>
    <row r="65" spans="1:4" ht="15" customHeight="1">
      <c r="A65" s="249"/>
      <c r="B65" s="35"/>
      <c r="C65" s="246"/>
      <c r="D65" s="246"/>
    </row>
    <row r="66" spans="1:4" ht="15" customHeight="1">
      <c r="A66" s="246"/>
      <c r="B66" s="35"/>
      <c r="C66" s="246"/>
      <c r="D66" s="246"/>
    </row>
    <row r="67" spans="1:4" ht="15" customHeight="1">
      <c r="A67" s="246"/>
      <c r="B67" s="35"/>
      <c r="C67" s="246"/>
      <c r="D67" s="246"/>
    </row>
    <row r="68" spans="1:4" ht="15" customHeight="1">
      <c r="A68" s="3" t="s">
        <v>384</v>
      </c>
      <c r="B68" s="246"/>
      <c r="C68" s="246"/>
      <c r="D68" s="246"/>
    </row>
    <row r="69" spans="2:4" ht="15" customHeight="1">
      <c r="B69" s="35" t="s">
        <v>157</v>
      </c>
      <c r="C69" s="246"/>
      <c r="D69" s="246"/>
    </row>
    <row r="70" spans="2:4" ht="15" customHeight="1">
      <c r="B70" s="35"/>
      <c r="C70" s="246"/>
      <c r="D70" s="246"/>
    </row>
    <row r="71" ht="15" customHeight="1">
      <c r="B71" s="35"/>
    </row>
    <row r="72" ht="15" customHeight="1">
      <c r="B72" s="35"/>
    </row>
    <row r="73" ht="15" customHeight="1">
      <c r="A73" s="3" t="s">
        <v>385</v>
      </c>
    </row>
    <row r="74" ht="15" customHeight="1">
      <c r="B74" s="235" t="s">
        <v>367</v>
      </c>
    </row>
    <row r="75" ht="15" customHeight="1">
      <c r="B75" s="286" t="s">
        <v>441</v>
      </c>
    </row>
    <row r="76" ht="15" customHeight="1">
      <c r="B76" s="286"/>
    </row>
    <row r="77" ht="15" customHeight="1">
      <c r="B77" s="35"/>
    </row>
    <row r="78" ht="15" customHeight="1">
      <c r="A78" s="3" t="s">
        <v>386</v>
      </c>
    </row>
    <row r="79" ht="15" customHeight="1">
      <c r="B79" s="235" t="s">
        <v>368</v>
      </c>
    </row>
    <row r="80" ht="15" customHeight="1">
      <c r="B80" s="286" t="s">
        <v>442</v>
      </c>
    </row>
    <row r="81" ht="15" customHeight="1">
      <c r="B81" s="35"/>
    </row>
    <row r="82" ht="15" customHeight="1">
      <c r="B82" s="35"/>
    </row>
    <row r="83" ht="15" customHeight="1">
      <c r="A83" s="3" t="s">
        <v>296</v>
      </c>
    </row>
    <row r="84" ht="15" customHeight="1">
      <c r="B84" s="236" t="s">
        <v>369</v>
      </c>
    </row>
    <row r="85" ht="15" customHeight="1">
      <c r="B85" s="236" t="s">
        <v>479</v>
      </c>
    </row>
    <row r="86" ht="15" customHeight="1">
      <c r="B86" s="35"/>
    </row>
    <row r="87" ht="15" customHeight="1">
      <c r="B87" s="35"/>
    </row>
  </sheetData>
  <sheetProtection sheet="1" objects="1" scenarios="1" formatCells="0" formatColumns="0" formatRows="0"/>
  <mergeCells count="55">
    <mergeCell ref="A10:B13"/>
    <mergeCell ref="B15:B17"/>
    <mergeCell ref="A6:B6"/>
    <mergeCell ref="A7:B8"/>
    <mergeCell ref="K20:L20"/>
    <mergeCell ref="G19:H19"/>
    <mergeCell ref="K17:L17"/>
    <mergeCell ref="G18:H18"/>
    <mergeCell ref="I18:J19"/>
    <mergeCell ref="K15:L16"/>
    <mergeCell ref="A46:E49"/>
    <mergeCell ref="C38:E41"/>
    <mergeCell ref="A38:B41"/>
    <mergeCell ref="F38:L41"/>
    <mergeCell ref="A42:B45"/>
    <mergeCell ref="A26:A37"/>
    <mergeCell ref="B26:E29"/>
    <mergeCell ref="P46:X46"/>
    <mergeCell ref="E15:E17"/>
    <mergeCell ref="I17:J17"/>
    <mergeCell ref="A22:E25"/>
    <mergeCell ref="F22:L25"/>
    <mergeCell ref="F30:L33"/>
    <mergeCell ref="K19:L19"/>
    <mergeCell ref="A15:A19"/>
    <mergeCell ref="C15:D16"/>
    <mergeCell ref="F34:L37"/>
    <mergeCell ref="C17:D17"/>
    <mergeCell ref="C6:D6"/>
    <mergeCell ref="C7:D8"/>
    <mergeCell ref="G8:L8"/>
    <mergeCell ref="E8:F8"/>
    <mergeCell ref="P45:X45"/>
    <mergeCell ref="F15:F17"/>
    <mergeCell ref="I15:J16"/>
    <mergeCell ref="F26:L29"/>
    <mergeCell ref="G15:H17"/>
    <mergeCell ref="K1:L1"/>
    <mergeCell ref="I2:L2"/>
    <mergeCell ref="G7:I7"/>
    <mergeCell ref="J7:L7"/>
    <mergeCell ref="E6:L6"/>
    <mergeCell ref="E7:F7"/>
    <mergeCell ref="A3:L3"/>
    <mergeCell ref="A4:L4"/>
    <mergeCell ref="C18:D18"/>
    <mergeCell ref="K18:L18"/>
    <mergeCell ref="F50:G50"/>
    <mergeCell ref="C19:D19"/>
    <mergeCell ref="B30:E33"/>
    <mergeCell ref="F46:L49"/>
    <mergeCell ref="C42:E45"/>
    <mergeCell ref="F42:L45"/>
    <mergeCell ref="I20:J20"/>
    <mergeCell ref="B34:E37"/>
  </mergeCells>
  <printOptions/>
  <pageMargins left="0.984251968503937" right="0.5905511811023623" top="0.5905511811023623" bottom="0.5905511811023623" header="0.31496062992125984"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148"/>
  <sheetViews>
    <sheetView zoomScalePageLayoutView="0" workbookViewId="0" topLeftCell="A1">
      <selection activeCell="A1" sqref="A1"/>
    </sheetView>
  </sheetViews>
  <sheetFormatPr defaultColWidth="8.88671875" defaultRowHeight="15" customHeight="1"/>
  <cols>
    <col min="1" max="26" width="4.77734375" style="3" customWidth="1"/>
    <col min="27" max="16384" width="8.88671875" style="3" customWidth="1"/>
  </cols>
  <sheetData>
    <row r="1" spans="1:14" ht="18" customHeight="1">
      <c r="A1" s="85" t="s">
        <v>129</v>
      </c>
      <c r="L1" s="76" t="s">
        <v>64</v>
      </c>
      <c r="M1" s="470">
        <f>+'報告書'!K1</f>
        <v>45474</v>
      </c>
      <c r="N1" s="471"/>
    </row>
    <row r="2" spans="2:18" ht="15" customHeight="1">
      <c r="B2" s="85"/>
      <c r="J2" s="472">
        <f>+IF('表紙'!I5=0,"",'表紙'!I5)</f>
      </c>
      <c r="K2" s="623"/>
      <c r="L2" s="623"/>
      <c r="M2" s="623"/>
      <c r="N2" s="624"/>
      <c r="R2" s="3" t="s">
        <v>375</v>
      </c>
    </row>
    <row r="3" spans="1:14" ht="15" customHeight="1">
      <c r="A3" s="12" t="s">
        <v>355</v>
      </c>
      <c r="B3" s="5"/>
      <c r="C3" s="102" t="s">
        <v>733</v>
      </c>
      <c r="D3" s="396"/>
      <c r="E3" s="59" t="s">
        <v>51</v>
      </c>
      <c r="F3" s="146"/>
      <c r="G3" s="59" t="s">
        <v>52</v>
      </c>
      <c r="H3" s="146"/>
      <c r="I3" s="59" t="s">
        <v>53</v>
      </c>
      <c r="J3" s="57"/>
      <c r="K3" s="57"/>
      <c r="L3" s="57"/>
      <c r="M3" s="59">
        <f>+IF(D3=0,"",IF(D3="元",2019,D3+2018))</f>
      </c>
      <c r="N3" s="147" t="s">
        <v>51</v>
      </c>
    </row>
    <row r="4" spans="1:18" ht="15" customHeight="1">
      <c r="A4" s="18" t="s">
        <v>114</v>
      </c>
      <c r="B4" s="19"/>
      <c r="C4" s="436"/>
      <c r="D4" s="667"/>
      <c r="E4" s="667"/>
      <c r="F4" s="667"/>
      <c r="G4" s="667"/>
      <c r="H4" s="667"/>
      <c r="I4" s="667"/>
      <c r="J4" s="13" t="s">
        <v>88</v>
      </c>
      <c r="L4" s="40"/>
      <c r="M4" s="581" t="s">
        <v>361</v>
      </c>
      <c r="N4" s="483"/>
      <c r="R4" s="3" t="s">
        <v>343</v>
      </c>
    </row>
    <row r="5" spans="1:19" ht="15" customHeight="1">
      <c r="A5" s="18" t="s">
        <v>115</v>
      </c>
      <c r="B5" s="19"/>
      <c r="C5" s="433"/>
      <c r="D5" s="434"/>
      <c r="E5" s="434"/>
      <c r="F5" s="434"/>
      <c r="G5" s="434"/>
      <c r="H5" s="434"/>
      <c r="I5" s="434"/>
      <c r="J5" s="13"/>
      <c r="L5" s="41"/>
      <c r="M5" s="653" t="s">
        <v>33</v>
      </c>
      <c r="N5" s="443"/>
      <c r="R5" s="117"/>
      <c r="S5" s="3" t="s">
        <v>370</v>
      </c>
    </row>
    <row r="6" spans="1:18" ht="15" customHeight="1">
      <c r="A6" s="18" t="s">
        <v>360</v>
      </c>
      <c r="B6" s="19"/>
      <c r="C6" s="433"/>
      <c r="D6" s="434"/>
      <c r="E6" s="434"/>
      <c r="F6" s="434"/>
      <c r="G6" s="434"/>
      <c r="H6" s="434"/>
      <c r="I6" s="434"/>
      <c r="J6" s="13"/>
      <c r="L6" s="89"/>
      <c r="M6" s="682" t="s">
        <v>89</v>
      </c>
      <c r="N6" s="643"/>
      <c r="R6" s="72" t="s">
        <v>341</v>
      </c>
    </row>
    <row r="7" spans="1:20" ht="15" customHeight="1">
      <c r="A7" s="87" t="s">
        <v>359</v>
      </c>
      <c r="B7" s="88"/>
      <c r="C7" s="659"/>
      <c r="D7" s="412"/>
      <c r="E7" s="412"/>
      <c r="F7" s="412"/>
      <c r="G7" s="412"/>
      <c r="H7" s="412"/>
      <c r="I7" s="412"/>
      <c r="J7" s="671">
        <f>+IF(R5=2,"併用部分","")</f>
      </c>
      <c r="K7" s="672"/>
      <c r="L7" s="670"/>
      <c r="M7" s="670"/>
      <c r="N7" s="670"/>
      <c r="R7" s="3" t="s">
        <v>56</v>
      </c>
      <c r="T7" s="3" t="s">
        <v>57</v>
      </c>
    </row>
    <row r="8" spans="1:14" ht="18" customHeight="1">
      <c r="A8" s="18" t="s">
        <v>130</v>
      </c>
      <c r="B8" s="20"/>
      <c r="C8" s="132"/>
      <c r="D8" s="141" t="s">
        <v>131</v>
      </c>
      <c r="E8" s="148"/>
      <c r="F8" s="133"/>
      <c r="G8" s="142" t="s">
        <v>153</v>
      </c>
      <c r="H8" s="134"/>
      <c r="I8" s="134"/>
      <c r="J8" s="679" t="s">
        <v>122</v>
      </c>
      <c r="K8" s="680"/>
      <c r="L8" s="680"/>
      <c r="M8" s="680"/>
      <c r="N8" s="681"/>
    </row>
    <row r="9" spans="1:19" ht="15" customHeight="1">
      <c r="A9" s="22" t="s">
        <v>334</v>
      </c>
      <c r="B9" s="7"/>
      <c r="C9" s="668"/>
      <c r="D9" s="669"/>
      <c r="E9" s="669"/>
      <c r="F9" s="669"/>
      <c r="G9" s="669"/>
      <c r="H9" s="669"/>
      <c r="I9" s="669"/>
      <c r="J9" s="677" t="s">
        <v>124</v>
      </c>
      <c r="K9" s="678"/>
      <c r="L9" s="683"/>
      <c r="M9" s="684"/>
      <c r="N9" s="130" t="s">
        <v>159</v>
      </c>
      <c r="O9" s="186" t="s">
        <v>388</v>
      </c>
      <c r="R9" s="117"/>
      <c r="S9" s="3" t="s">
        <v>130</v>
      </c>
    </row>
    <row r="10" spans="1:21" ht="15" customHeight="1">
      <c r="A10" s="13" t="s">
        <v>342</v>
      </c>
      <c r="C10" s="659"/>
      <c r="D10" s="660"/>
      <c r="E10" s="660"/>
      <c r="F10" s="660"/>
      <c r="G10" s="660"/>
      <c r="H10" s="660"/>
      <c r="I10" s="660"/>
      <c r="J10" s="675" t="s">
        <v>123</v>
      </c>
      <c r="K10" s="676"/>
      <c r="L10" s="656"/>
      <c r="M10" s="657"/>
      <c r="N10" s="129" t="s">
        <v>159</v>
      </c>
      <c r="O10" s="186" t="s">
        <v>388</v>
      </c>
      <c r="R10" s="3" t="s">
        <v>55</v>
      </c>
      <c r="U10" s="56"/>
    </row>
    <row r="11" spans="1:21" ht="18" customHeight="1">
      <c r="A11" s="12" t="s">
        <v>356</v>
      </c>
      <c r="B11" s="5"/>
      <c r="C11" s="102"/>
      <c r="D11" s="62"/>
      <c r="E11" s="62"/>
      <c r="F11" s="62"/>
      <c r="G11" s="62"/>
      <c r="H11" s="81"/>
      <c r="I11" s="58" t="s">
        <v>51</v>
      </c>
      <c r="J11" s="699" t="s">
        <v>347</v>
      </c>
      <c r="K11" s="153"/>
      <c r="L11" s="693" t="s">
        <v>218</v>
      </c>
      <c r="M11" s="694"/>
      <c r="N11" s="695"/>
      <c r="O11" s="84"/>
      <c r="P11" s="84"/>
      <c r="Q11" s="90"/>
      <c r="R11" s="117"/>
      <c r="S11" s="3" t="s">
        <v>371</v>
      </c>
      <c r="U11" s="55">
        <f>+IF(R11=3,IF(H11&gt;=65,"昭和64年まで",H11+1925),IF(R11=2,IF(H11&gt;=16,"大正15年まで",H11+1911),IF(R11=1,IF(H11&gt;=46,"明治45年まで",H11+1867),IF(R11=4,H11+1988,""))))</f>
      </c>
    </row>
    <row r="12" spans="1:21" ht="18" customHeight="1">
      <c r="A12" s="637" t="s">
        <v>54</v>
      </c>
      <c r="B12" s="643"/>
      <c r="C12" s="637">
        <f>+IF(R11=0,"",IF(M3="","",M3-F12))</f>
      </c>
      <c r="D12" s="638"/>
      <c r="E12" s="4" t="s">
        <v>51</v>
      </c>
      <c r="F12" s="691">
        <f>+U11</f>
      </c>
      <c r="G12" s="692"/>
      <c r="H12" s="692"/>
      <c r="I12" s="106" t="s">
        <v>51</v>
      </c>
      <c r="J12" s="700"/>
      <c r="K12" s="27"/>
      <c r="L12" s="696"/>
      <c r="M12" s="697"/>
      <c r="N12" s="698"/>
      <c r="O12" s="84"/>
      <c r="P12" s="84"/>
      <c r="Q12" s="90"/>
      <c r="R12" s="60"/>
      <c r="T12" s="55"/>
      <c r="U12" s="56"/>
    </row>
    <row r="13" spans="1:22" ht="15" customHeight="1">
      <c r="A13" s="12" t="s">
        <v>346</v>
      </c>
      <c r="B13" s="5"/>
      <c r="C13" s="12"/>
      <c r="D13" s="165"/>
      <c r="E13" s="5"/>
      <c r="F13" s="5" t="s">
        <v>358</v>
      </c>
      <c r="G13" s="63"/>
      <c r="H13" s="5" t="s">
        <v>357</v>
      </c>
      <c r="I13" s="5"/>
      <c r="J13" s="700"/>
      <c r="K13" s="43"/>
      <c r="L13" s="661" t="s">
        <v>219</v>
      </c>
      <c r="M13" s="662"/>
      <c r="N13" s="663"/>
      <c r="R13" s="3" t="s">
        <v>95</v>
      </c>
      <c r="U13" s="3" t="s">
        <v>353</v>
      </c>
      <c r="V13" s="3" t="s">
        <v>96</v>
      </c>
    </row>
    <row r="14" spans="1:23" ht="15" customHeight="1">
      <c r="A14" s="13" t="s">
        <v>333</v>
      </c>
      <c r="C14" s="310"/>
      <c r="D14" s="688" t="s">
        <v>509</v>
      </c>
      <c r="E14" s="689"/>
      <c r="F14" s="689"/>
      <c r="G14" s="689"/>
      <c r="H14" s="689"/>
      <c r="I14" s="690"/>
      <c r="J14" s="701"/>
      <c r="K14" s="89"/>
      <c r="L14" s="664" t="s">
        <v>523</v>
      </c>
      <c r="M14" s="665"/>
      <c r="N14" s="666"/>
      <c r="R14" s="117"/>
      <c r="U14" s="244" t="b">
        <v>0</v>
      </c>
      <c r="V14" s="244" t="b">
        <v>0</v>
      </c>
      <c r="W14" s="60"/>
    </row>
    <row r="15" spans="1:23" ht="15" customHeight="1">
      <c r="A15" s="13"/>
      <c r="C15" s="41"/>
      <c r="D15" s="653" t="s">
        <v>472</v>
      </c>
      <c r="E15" s="654"/>
      <c r="F15" s="654"/>
      <c r="G15" s="654"/>
      <c r="H15" s="654"/>
      <c r="I15" s="443"/>
      <c r="J15" s="704" t="s">
        <v>348</v>
      </c>
      <c r="K15" s="27"/>
      <c r="L15" s="581" t="s">
        <v>231</v>
      </c>
      <c r="M15" s="582"/>
      <c r="N15" s="483"/>
      <c r="R15" s="600" t="s">
        <v>257</v>
      </c>
      <c r="S15" s="601"/>
      <c r="T15" s="601"/>
      <c r="U15" s="244" t="b">
        <v>0</v>
      </c>
      <c r="V15" s="244" t="b">
        <v>0</v>
      </c>
      <c r="W15" s="60"/>
    </row>
    <row r="16" spans="1:23" ht="15" customHeight="1">
      <c r="A16" s="14"/>
      <c r="B16" s="4"/>
      <c r="C16" s="241"/>
      <c r="D16" s="682" t="s">
        <v>473</v>
      </c>
      <c r="E16" s="638"/>
      <c r="F16" s="638"/>
      <c r="G16" s="638"/>
      <c r="H16" s="638"/>
      <c r="I16" s="643"/>
      <c r="J16" s="705"/>
      <c r="K16" s="41"/>
      <c r="L16" s="653" t="s">
        <v>349</v>
      </c>
      <c r="M16" s="654"/>
      <c r="N16" s="443"/>
      <c r="R16" s="601"/>
      <c r="S16" s="601"/>
      <c r="T16" s="601"/>
      <c r="U16" s="244" t="b">
        <v>0</v>
      </c>
      <c r="V16" s="244" t="b">
        <v>0</v>
      </c>
      <c r="W16" s="60"/>
    </row>
    <row r="17" spans="1:23" ht="15" customHeight="1">
      <c r="A17" s="13" t="s">
        <v>471</v>
      </c>
      <c r="C17" s="311"/>
      <c r="D17" s="639" t="s">
        <v>478</v>
      </c>
      <c r="E17" s="476"/>
      <c r="F17" s="476"/>
      <c r="G17" s="476"/>
      <c r="H17" s="476"/>
      <c r="I17" s="640"/>
      <c r="J17" s="705"/>
      <c r="K17" s="41"/>
      <c r="L17" s="653" t="s">
        <v>354</v>
      </c>
      <c r="M17" s="654"/>
      <c r="N17" s="443"/>
      <c r="R17" s="117"/>
      <c r="U17" s="290"/>
      <c r="V17" s="244" t="b">
        <v>0</v>
      </c>
      <c r="W17" s="60" t="s">
        <v>353</v>
      </c>
    </row>
    <row r="18" spans="1:23" ht="15" customHeight="1">
      <c r="A18" s="13"/>
      <c r="C18" s="89"/>
      <c r="D18" s="655" t="s">
        <v>257</v>
      </c>
      <c r="E18" s="584"/>
      <c r="F18" s="584"/>
      <c r="G18" s="584"/>
      <c r="H18" s="584"/>
      <c r="I18" s="495"/>
      <c r="J18" s="705"/>
      <c r="K18" s="64"/>
      <c r="L18" s="685" t="s">
        <v>220</v>
      </c>
      <c r="M18" s="686"/>
      <c r="N18" s="687"/>
      <c r="U18" s="244"/>
      <c r="V18" s="244" t="b">
        <v>0</v>
      </c>
      <c r="W18" s="179">
        <f>+IF(AND(U14=FALSE,U15=FALSE,U16=FALSE),0,IF(U14=TRUE,3,IF(U15=TRUE,2,1)))</f>
        <v>0</v>
      </c>
    </row>
    <row r="19" spans="1:22" ht="15" customHeight="1">
      <c r="A19" s="13"/>
      <c r="C19" s="311"/>
      <c r="D19" s="639" t="s">
        <v>90</v>
      </c>
      <c r="E19" s="673"/>
      <c r="F19" s="673"/>
      <c r="G19" s="673"/>
      <c r="H19" s="673"/>
      <c r="I19" s="674"/>
      <c r="J19" s="258"/>
      <c r="K19" s="64"/>
      <c r="L19" s="685" t="s">
        <v>513</v>
      </c>
      <c r="M19" s="686"/>
      <c r="N19" s="687"/>
      <c r="R19" s="244" t="b">
        <v>0</v>
      </c>
      <c r="S19" s="290"/>
      <c r="T19" s="244"/>
      <c r="U19" s="71"/>
      <c r="V19" s="244" t="b">
        <v>0</v>
      </c>
    </row>
    <row r="20" spans="1:27" ht="15" customHeight="1">
      <c r="A20" s="13"/>
      <c r="C20" s="240"/>
      <c r="D20" s="653" t="s">
        <v>362</v>
      </c>
      <c r="E20" s="654"/>
      <c r="F20" s="654"/>
      <c r="G20" s="654"/>
      <c r="H20" s="654"/>
      <c r="I20" s="443"/>
      <c r="J20" s="258"/>
      <c r="K20" s="64"/>
      <c r="L20" s="685" t="s">
        <v>514</v>
      </c>
      <c r="M20" s="686"/>
      <c r="N20" s="687"/>
      <c r="R20" s="244" t="b">
        <v>0</v>
      </c>
      <c r="S20" s="290"/>
      <c r="T20" s="244"/>
      <c r="U20" s="71"/>
      <c r="AA20" s="3" t="s">
        <v>712</v>
      </c>
    </row>
    <row r="21" spans="1:28" ht="15" customHeight="1">
      <c r="A21" s="13"/>
      <c r="C21" s="312"/>
      <c r="D21" s="644" t="s">
        <v>91</v>
      </c>
      <c r="E21" s="620"/>
      <c r="F21" s="620"/>
      <c r="G21" s="620"/>
      <c r="H21" s="620"/>
      <c r="I21" s="611"/>
      <c r="J21" s="258"/>
      <c r="K21" s="265"/>
      <c r="L21" s="259"/>
      <c r="M21" s="260"/>
      <c r="N21" s="261"/>
      <c r="R21" s="244" t="b">
        <v>0</v>
      </c>
      <c r="S21" s="290"/>
      <c r="T21" s="244"/>
      <c r="U21" s="71"/>
      <c r="AB21" s="3" t="s">
        <v>713</v>
      </c>
    </row>
    <row r="22" spans="1:21" ht="15" customHeight="1">
      <c r="A22" s="14"/>
      <c r="B22" s="4"/>
      <c r="C22" s="241"/>
      <c r="D22" s="645"/>
      <c r="E22" s="621"/>
      <c r="F22" s="621"/>
      <c r="G22" s="621"/>
      <c r="H22" s="621"/>
      <c r="I22" s="613"/>
      <c r="J22" s="159"/>
      <c r="K22" s="164"/>
      <c r="L22" s="210"/>
      <c r="M22" s="158"/>
      <c r="N22" s="160"/>
      <c r="R22" s="244"/>
      <c r="S22" s="244"/>
      <c r="T22" s="244"/>
      <c r="U22" s="71"/>
    </row>
    <row r="23" spans="1:21" ht="15" customHeight="1">
      <c r="A23" s="649" t="s">
        <v>108</v>
      </c>
      <c r="B23" s="650"/>
      <c r="C23" s="761"/>
      <c r="D23" s="762"/>
      <c r="E23" s="762"/>
      <c r="F23" s="762"/>
      <c r="G23" s="762"/>
      <c r="H23" s="762"/>
      <c r="I23" s="762"/>
      <c r="J23" s="762"/>
      <c r="K23" s="762"/>
      <c r="L23" s="762"/>
      <c r="M23" s="762"/>
      <c r="N23" s="763"/>
      <c r="R23" s="71"/>
      <c r="S23" s="60"/>
      <c r="T23" s="60"/>
      <c r="U23" s="71"/>
    </row>
    <row r="24" spans="1:21" ht="15" customHeight="1">
      <c r="A24" s="651"/>
      <c r="B24" s="652"/>
      <c r="C24" s="764"/>
      <c r="D24" s="765"/>
      <c r="E24" s="765"/>
      <c r="F24" s="765"/>
      <c r="G24" s="765"/>
      <c r="H24" s="765"/>
      <c r="I24" s="765"/>
      <c r="J24" s="765"/>
      <c r="K24" s="765"/>
      <c r="L24" s="765"/>
      <c r="M24" s="765"/>
      <c r="N24" s="766"/>
      <c r="R24" s="60"/>
      <c r="S24" s="60"/>
      <c r="T24" s="60"/>
      <c r="U24" s="71"/>
    </row>
    <row r="25" spans="1:14" ht="15" customHeight="1">
      <c r="A25" s="12"/>
      <c r="B25" s="5"/>
      <c r="C25" s="5" t="s">
        <v>363</v>
      </c>
      <c r="D25" s="5"/>
      <c r="E25" s="5"/>
      <c r="F25" s="5"/>
      <c r="G25" s="5"/>
      <c r="H25" s="5"/>
      <c r="I25" s="5"/>
      <c r="J25" s="5"/>
      <c r="K25" s="5"/>
      <c r="L25" s="4"/>
      <c r="M25" s="4"/>
      <c r="N25" s="11"/>
    </row>
    <row r="26" spans="1:17" ht="15" customHeight="1">
      <c r="A26" s="82" t="s">
        <v>125</v>
      </c>
      <c r="B26" s="252"/>
      <c r="C26" s="252"/>
      <c r="D26" s="252"/>
      <c r="E26" s="252"/>
      <c r="F26" s="250"/>
      <c r="G26" s="250"/>
      <c r="H26" s="250"/>
      <c r="I26" s="250"/>
      <c r="J26" s="250"/>
      <c r="K26" s="250"/>
      <c r="L26" s="250"/>
      <c r="M26" s="250"/>
      <c r="N26" s="250"/>
      <c r="O26" s="91"/>
      <c r="P26" s="91"/>
      <c r="Q26" s="91"/>
    </row>
    <row r="27" spans="1:17" ht="15" customHeight="1">
      <c r="A27" s="472" t="s">
        <v>58</v>
      </c>
      <c r="B27" s="480"/>
      <c r="C27" s="480"/>
      <c r="D27" s="480"/>
      <c r="E27" s="481"/>
      <c r="G27" s="708" t="s">
        <v>451</v>
      </c>
      <c r="H27" s="709"/>
      <c r="I27" s="709"/>
      <c r="J27" s="709"/>
      <c r="K27" s="709"/>
      <c r="L27" s="709"/>
      <c r="M27" s="709"/>
      <c r="N27" s="710"/>
      <c r="O27" s="91"/>
      <c r="P27" s="91"/>
      <c r="Q27" s="91"/>
    </row>
    <row r="28" spans="1:20" ht="15" customHeight="1">
      <c r="A28" s="770" t="s">
        <v>263</v>
      </c>
      <c r="B28" s="771"/>
      <c r="C28" s="642"/>
      <c r="D28" s="641">
        <f>IF('総合判定計算書'!B42="","",'総合判定計算書'!B42)</f>
      </c>
      <c r="E28" s="642"/>
      <c r="F28" s="80"/>
      <c r="G28" s="27"/>
      <c r="H28" s="711" t="s">
        <v>453</v>
      </c>
      <c r="I28" s="712"/>
      <c r="J28" s="712"/>
      <c r="K28" s="712"/>
      <c r="L28" s="712"/>
      <c r="M28" s="712"/>
      <c r="N28" s="713"/>
      <c r="O28" s="91"/>
      <c r="P28" s="91"/>
      <c r="Q28" s="91"/>
      <c r="R28" s="117"/>
      <c r="T28" s="3" t="s">
        <v>452</v>
      </c>
    </row>
    <row r="29" spans="1:17" ht="15" customHeight="1">
      <c r="A29" s="772" t="s">
        <v>264</v>
      </c>
      <c r="B29" s="654"/>
      <c r="C29" s="443"/>
      <c r="D29" s="658">
        <f>IF('総合判定計算書'!B44="","",'総合判定計算書'!B44)</f>
      </c>
      <c r="E29" s="443"/>
      <c r="F29" s="80"/>
      <c r="G29" s="41"/>
      <c r="H29" s="646" t="s">
        <v>454</v>
      </c>
      <c r="I29" s="647"/>
      <c r="J29" s="647"/>
      <c r="K29" s="647"/>
      <c r="L29" s="647"/>
      <c r="M29" s="647"/>
      <c r="N29" s="648"/>
      <c r="O29" s="91"/>
      <c r="P29" s="91"/>
      <c r="Q29" s="91"/>
    </row>
    <row r="30" spans="1:17" ht="15" customHeight="1">
      <c r="A30" s="770" t="s">
        <v>265</v>
      </c>
      <c r="B30" s="771"/>
      <c r="C30" s="642"/>
      <c r="D30" s="641">
        <f>IF('総合判定計算書'!B46="","",'総合判定計算書'!B46)</f>
      </c>
      <c r="E30" s="642"/>
      <c r="F30" s="80"/>
      <c r="G30" s="41"/>
      <c r="H30" s="646" t="s">
        <v>455</v>
      </c>
      <c r="I30" s="647"/>
      <c r="J30" s="647"/>
      <c r="K30" s="647"/>
      <c r="L30" s="647"/>
      <c r="M30" s="647"/>
      <c r="N30" s="648"/>
      <c r="O30" s="91"/>
      <c r="P30" s="91"/>
      <c r="Q30" s="91"/>
    </row>
    <row r="31" spans="1:17" ht="15" customHeight="1">
      <c r="A31" s="472" t="s">
        <v>364</v>
      </c>
      <c r="B31" s="473"/>
      <c r="C31" s="474"/>
      <c r="D31" s="635">
        <f>+IF(D30="","",SUM(D28:E30))</f>
      </c>
      <c r="E31" s="636"/>
      <c r="F31" s="80"/>
      <c r="G31" s="89"/>
      <c r="H31" s="597" t="s">
        <v>456</v>
      </c>
      <c r="I31" s="598"/>
      <c r="J31" s="598"/>
      <c r="K31" s="598"/>
      <c r="L31" s="598"/>
      <c r="M31" s="598"/>
      <c r="N31" s="599"/>
      <c r="O31" s="91"/>
      <c r="P31" s="91"/>
      <c r="Q31" s="91"/>
    </row>
    <row r="32" spans="1:17" ht="15" customHeight="1">
      <c r="A32" s="127"/>
      <c r="B32" s="128"/>
      <c r="D32" s="82"/>
      <c r="E32" s="80"/>
      <c r="F32" s="80"/>
      <c r="G32" s="80"/>
      <c r="H32" s="80"/>
      <c r="I32" s="80"/>
      <c r="M32" s="125"/>
      <c r="N32" s="126"/>
      <c r="O32" s="91"/>
      <c r="P32" s="91"/>
      <c r="Q32" s="91"/>
    </row>
    <row r="33" spans="1:14" ht="15" customHeight="1">
      <c r="A33" s="617" t="s">
        <v>138</v>
      </c>
      <c r="B33" s="625" t="s">
        <v>119</v>
      </c>
      <c r="C33" s="626"/>
      <c r="D33" s="472" t="s">
        <v>117</v>
      </c>
      <c r="E33" s="623"/>
      <c r="F33" s="624"/>
      <c r="G33" s="472" t="s">
        <v>118</v>
      </c>
      <c r="H33" s="624"/>
      <c r="I33" s="472" t="s">
        <v>116</v>
      </c>
      <c r="J33" s="473"/>
      <c r="K33" s="473"/>
      <c r="L33" s="473"/>
      <c r="M33" s="473"/>
      <c r="N33" s="474"/>
    </row>
    <row r="34" spans="1:22" ht="18" customHeight="1">
      <c r="A34" s="618"/>
      <c r="B34" s="627" t="s">
        <v>2</v>
      </c>
      <c r="C34" s="628"/>
      <c r="D34" s="42"/>
      <c r="E34" s="42"/>
      <c r="F34" s="42"/>
      <c r="G34" s="436"/>
      <c r="H34" s="438"/>
      <c r="I34" s="436"/>
      <c r="J34" s="437"/>
      <c r="K34" s="437"/>
      <c r="L34" s="437"/>
      <c r="M34" s="437"/>
      <c r="N34" s="438"/>
      <c r="O34" s="91"/>
      <c r="P34" s="91"/>
      <c r="Q34" s="91"/>
      <c r="R34" s="118"/>
      <c r="T34" s="730" t="s">
        <v>2</v>
      </c>
      <c r="U34" s="731"/>
      <c r="V34" s="91" t="s">
        <v>338</v>
      </c>
    </row>
    <row r="35" spans="1:22" ht="18" customHeight="1">
      <c r="A35" s="618"/>
      <c r="B35" s="633" t="s">
        <v>3</v>
      </c>
      <c r="C35" s="634"/>
      <c r="D35" s="43"/>
      <c r="E35" s="43"/>
      <c r="F35" s="43"/>
      <c r="G35" s="433"/>
      <c r="H35" s="435"/>
      <c r="I35" s="433"/>
      <c r="J35" s="607"/>
      <c r="K35" s="607"/>
      <c r="L35" s="607"/>
      <c r="M35" s="607"/>
      <c r="N35" s="608"/>
      <c r="O35" s="91"/>
      <c r="P35" s="91"/>
      <c r="Q35" s="91"/>
      <c r="R35" s="119"/>
      <c r="T35" s="730" t="s">
        <v>3</v>
      </c>
      <c r="U35" s="731"/>
      <c r="V35" s="91" t="s">
        <v>339</v>
      </c>
    </row>
    <row r="36" spans="1:22" ht="18" customHeight="1">
      <c r="A36" s="618"/>
      <c r="B36" s="433"/>
      <c r="C36" s="440"/>
      <c r="D36" s="43"/>
      <c r="E36" s="43"/>
      <c r="F36" s="43"/>
      <c r="G36" s="433"/>
      <c r="H36" s="435"/>
      <c r="I36" s="433"/>
      <c r="J36" s="607"/>
      <c r="K36" s="607"/>
      <c r="L36" s="607"/>
      <c r="M36" s="607"/>
      <c r="N36" s="608"/>
      <c r="O36" s="91"/>
      <c r="P36" s="91"/>
      <c r="Q36" s="91"/>
      <c r="R36" s="119"/>
      <c r="T36" s="730" t="s">
        <v>4</v>
      </c>
      <c r="U36" s="731"/>
      <c r="V36" s="91" t="s">
        <v>340</v>
      </c>
    </row>
    <row r="37" spans="1:22" ht="18" customHeight="1">
      <c r="A37" s="618"/>
      <c r="B37" s="605"/>
      <c r="C37" s="606"/>
      <c r="D37" s="28"/>
      <c r="E37" s="28"/>
      <c r="F37" s="28"/>
      <c r="G37" s="424"/>
      <c r="H37" s="606"/>
      <c r="I37" s="424"/>
      <c r="J37" s="706"/>
      <c r="K37" s="706"/>
      <c r="L37" s="706"/>
      <c r="M37" s="706"/>
      <c r="N37" s="707"/>
      <c r="O37" s="91"/>
      <c r="P37" s="91"/>
      <c r="Q37" s="91"/>
      <c r="R37" s="120"/>
      <c r="T37" s="730" t="s">
        <v>5</v>
      </c>
      <c r="U37" s="731"/>
      <c r="V37" s="29"/>
    </row>
    <row r="38" spans="1:18" ht="15" customHeight="1">
      <c r="A38" s="618"/>
      <c r="B38" s="629" t="s">
        <v>94</v>
      </c>
      <c r="C38" s="630"/>
      <c r="D38" s="66"/>
      <c r="E38" s="34"/>
      <c r="F38" s="34"/>
      <c r="G38" s="34"/>
      <c r="H38" s="34"/>
      <c r="I38" s="34"/>
      <c r="J38" s="34"/>
      <c r="K38" s="34"/>
      <c r="L38" s="34"/>
      <c r="M38" s="34"/>
      <c r="N38" s="70"/>
      <c r="O38" s="91"/>
      <c r="P38" s="91"/>
      <c r="Q38" s="91"/>
      <c r="R38" s="60"/>
    </row>
    <row r="39" spans="1:18" ht="15" customHeight="1">
      <c r="A39" s="619"/>
      <c r="B39" s="631"/>
      <c r="C39" s="632"/>
      <c r="D39" s="38"/>
      <c r="E39" s="36"/>
      <c r="F39" s="36"/>
      <c r="G39" s="36"/>
      <c r="H39" s="36"/>
      <c r="I39" s="36"/>
      <c r="J39" s="36"/>
      <c r="K39" s="36"/>
      <c r="L39" s="36"/>
      <c r="M39" s="36"/>
      <c r="N39" s="53"/>
      <c r="O39" s="91"/>
      <c r="P39" s="91"/>
      <c r="Q39" s="91"/>
      <c r="R39" s="60"/>
    </row>
    <row r="40" spans="1:22" ht="15" customHeight="1">
      <c r="A40" s="588" t="s">
        <v>350</v>
      </c>
      <c r="B40" s="609"/>
      <c r="C40" s="40"/>
      <c r="D40" s="581" t="s">
        <v>65</v>
      </c>
      <c r="E40" s="582"/>
      <c r="F40" s="582"/>
      <c r="G40" s="483"/>
      <c r="H40" s="547" t="s">
        <v>132</v>
      </c>
      <c r="I40" s="549"/>
      <c r="J40" s="42"/>
      <c r="K40" s="23" t="s">
        <v>133</v>
      </c>
      <c r="L40" s="6"/>
      <c r="M40" s="6"/>
      <c r="N40" s="17"/>
      <c r="R40" s="244" t="b">
        <v>0</v>
      </c>
      <c r="S40" s="117"/>
      <c r="T40" s="3" t="s">
        <v>372</v>
      </c>
      <c r="V40" s="82" t="s">
        <v>366</v>
      </c>
    </row>
    <row r="41" spans="1:22" ht="15" customHeight="1">
      <c r="A41" s="610"/>
      <c r="B41" s="611"/>
      <c r="C41" s="89"/>
      <c r="D41" s="583" t="s">
        <v>66</v>
      </c>
      <c r="E41" s="584"/>
      <c r="F41" s="584"/>
      <c r="G41" s="495"/>
      <c r="H41" s="553"/>
      <c r="I41" s="555"/>
      <c r="J41" s="89"/>
      <c r="K41" s="309" t="s">
        <v>134</v>
      </c>
      <c r="L41" s="19"/>
      <c r="M41" s="19"/>
      <c r="N41" s="20"/>
      <c r="O41" s="29"/>
      <c r="P41" s="29"/>
      <c r="Q41" s="29"/>
      <c r="R41" s="244" t="b">
        <v>0</v>
      </c>
      <c r="V41" s="82" t="s">
        <v>0</v>
      </c>
    </row>
    <row r="42" spans="1:22" ht="15" customHeight="1">
      <c r="A42" s="588" t="s">
        <v>335</v>
      </c>
      <c r="B42" s="609"/>
      <c r="C42" s="40"/>
      <c r="D42" s="23" t="s">
        <v>730</v>
      </c>
      <c r="E42" s="6"/>
      <c r="F42" s="6"/>
      <c r="G42" s="6"/>
      <c r="H42" s="6"/>
      <c r="I42" s="6"/>
      <c r="J42" s="6"/>
      <c r="K42" s="6"/>
      <c r="L42" s="6"/>
      <c r="M42" s="6"/>
      <c r="N42" s="17"/>
      <c r="O42" s="29"/>
      <c r="P42" s="29"/>
      <c r="Q42" s="29"/>
      <c r="V42" s="82" t="s">
        <v>1</v>
      </c>
    </row>
    <row r="43" spans="1:17" ht="15" customHeight="1">
      <c r="A43" s="610"/>
      <c r="B43" s="611"/>
      <c r="C43" s="41"/>
      <c r="D43" s="24" t="s">
        <v>731</v>
      </c>
      <c r="E43" s="19"/>
      <c r="F43" s="19"/>
      <c r="G43" s="19"/>
      <c r="H43" s="19"/>
      <c r="I43" s="19"/>
      <c r="J43" s="19"/>
      <c r="K43" s="19"/>
      <c r="L43" s="19"/>
      <c r="M43" s="19"/>
      <c r="N43" s="20"/>
      <c r="O43" s="29"/>
      <c r="P43" s="29"/>
      <c r="Q43" s="29"/>
    </row>
    <row r="44" spans="1:19" ht="15" customHeight="1">
      <c r="A44" s="612"/>
      <c r="B44" s="613"/>
      <c r="C44" s="26"/>
      <c r="D44" s="25" t="s">
        <v>337</v>
      </c>
      <c r="E44" s="4"/>
      <c r="F44" s="4"/>
      <c r="G44" s="4"/>
      <c r="H44" s="4"/>
      <c r="I44" s="4"/>
      <c r="J44" s="4"/>
      <c r="K44" s="4"/>
      <c r="L44" s="4"/>
      <c r="M44" s="4"/>
      <c r="N44" s="11"/>
      <c r="O44" s="29"/>
      <c r="P44" s="29"/>
      <c r="Q44" s="29"/>
      <c r="R44" s="117"/>
      <c r="S44" s="3" t="s">
        <v>373</v>
      </c>
    </row>
    <row r="45" spans="1:23" ht="15" customHeight="1">
      <c r="A45" s="12" t="s">
        <v>344</v>
      </c>
      <c r="B45" s="15"/>
      <c r="C45" s="39"/>
      <c r="D45" s="46"/>
      <c r="E45" s="46"/>
      <c r="F45" s="46"/>
      <c r="G45" s="46"/>
      <c r="H45" s="46"/>
      <c r="I45" s="46"/>
      <c r="J45" s="46"/>
      <c r="K45" s="46"/>
      <c r="L45" s="46"/>
      <c r="M45" s="46"/>
      <c r="N45" s="47"/>
      <c r="O45" s="29"/>
      <c r="P45" s="29"/>
      <c r="Q45" s="29"/>
      <c r="R45" s="244" t="b">
        <v>0</v>
      </c>
      <c r="S45" s="244" t="b">
        <v>0</v>
      </c>
      <c r="T45" s="244" t="b">
        <v>0</v>
      </c>
      <c r="U45" s="244" t="b">
        <v>0</v>
      </c>
      <c r="V45" s="244" t="b">
        <v>0</v>
      </c>
      <c r="W45" s="244" t="b">
        <v>0</v>
      </c>
    </row>
    <row r="46" spans="2:23" ht="15" customHeight="1">
      <c r="B46" s="108"/>
      <c r="C46" s="108"/>
      <c r="D46" s="108"/>
      <c r="E46" s="108"/>
      <c r="F46" s="108"/>
      <c r="G46" s="108"/>
      <c r="H46" s="108"/>
      <c r="I46" s="108"/>
      <c r="J46" s="108"/>
      <c r="K46" s="108"/>
      <c r="L46" s="108"/>
      <c r="M46" s="108"/>
      <c r="N46" s="108"/>
      <c r="O46" s="29"/>
      <c r="P46" s="29"/>
      <c r="Q46" s="29"/>
      <c r="R46" s="244"/>
      <c r="S46" s="244"/>
      <c r="T46" s="244"/>
      <c r="U46" s="244"/>
      <c r="V46" s="244"/>
      <c r="W46" s="244"/>
    </row>
    <row r="47" spans="20:23" ht="15" customHeight="1">
      <c r="T47" s="60"/>
      <c r="U47" s="60"/>
      <c r="V47" s="60"/>
      <c r="W47" s="60"/>
    </row>
    <row r="48" spans="7:23" ht="15" customHeight="1">
      <c r="G48" s="444" t="s">
        <v>272</v>
      </c>
      <c r="H48" s="445"/>
      <c r="T48" s="60"/>
      <c r="U48" s="60"/>
      <c r="V48" s="60"/>
      <c r="W48" s="60"/>
    </row>
    <row r="49" spans="1:23" ht="18" customHeight="1">
      <c r="A49" s="92" t="s">
        <v>135</v>
      </c>
      <c r="B49" s="29"/>
      <c r="C49" s="29"/>
      <c r="D49" s="29"/>
      <c r="E49" s="29"/>
      <c r="F49" s="29"/>
      <c r="G49" s="29"/>
      <c r="H49" s="95"/>
      <c r="I49" s="80"/>
      <c r="J49" s="82"/>
      <c r="K49" s="80"/>
      <c r="L49" s="76" t="s">
        <v>64</v>
      </c>
      <c r="M49" s="470">
        <f>+'報告書'!K1</f>
        <v>45474</v>
      </c>
      <c r="N49" s="471"/>
      <c r="O49" s="29"/>
      <c r="P49" s="29"/>
      <c r="Q49" s="29"/>
      <c r="S49" s="60"/>
      <c r="T49" s="60"/>
      <c r="U49" s="60"/>
      <c r="V49" s="60"/>
      <c r="W49" s="60"/>
    </row>
    <row r="50" spans="1:23" ht="15" customHeight="1">
      <c r="A50" s="92"/>
      <c r="B50" s="29"/>
      <c r="C50" s="29"/>
      <c r="D50" s="29"/>
      <c r="E50" s="29"/>
      <c r="F50" s="29"/>
      <c r="G50" s="29"/>
      <c r="H50" s="95"/>
      <c r="I50" s="80"/>
      <c r="J50" s="472">
        <f>+IF('表紙'!I5=0,"",'表紙'!I5)</f>
      </c>
      <c r="K50" s="473"/>
      <c r="L50" s="473"/>
      <c r="M50" s="473"/>
      <c r="N50" s="474"/>
      <c r="O50" s="29"/>
      <c r="P50" s="29"/>
      <c r="Q50" s="29"/>
      <c r="S50" s="60"/>
      <c r="T50" s="60"/>
      <c r="U50" s="60"/>
      <c r="V50" s="60"/>
      <c r="W50" s="60"/>
    </row>
    <row r="51" spans="1:17" ht="15" customHeight="1">
      <c r="A51" s="8" t="s">
        <v>365</v>
      </c>
      <c r="B51" s="9"/>
      <c r="C51" s="152"/>
      <c r="D51" s="201" t="s">
        <v>7</v>
      </c>
      <c r="E51" s="9"/>
      <c r="F51" s="9"/>
      <c r="G51" s="9"/>
      <c r="H51" s="9"/>
      <c r="I51" s="588" t="s">
        <v>6</v>
      </c>
      <c r="J51" s="589"/>
      <c r="K51" s="153"/>
      <c r="L51" s="201" t="s">
        <v>67</v>
      </c>
      <c r="M51" s="9"/>
      <c r="N51" s="77"/>
      <c r="O51" s="29"/>
      <c r="P51" s="29"/>
      <c r="Q51" s="29"/>
    </row>
    <row r="52" spans="1:18" ht="15" customHeight="1">
      <c r="A52" s="13"/>
      <c r="C52" s="41"/>
      <c r="D52" s="24" t="s">
        <v>258</v>
      </c>
      <c r="E52" s="19"/>
      <c r="F52" s="19"/>
      <c r="G52" s="19"/>
      <c r="H52" s="20"/>
      <c r="I52" s="590"/>
      <c r="J52" s="591"/>
      <c r="K52" s="41"/>
      <c r="L52" s="24" t="s">
        <v>68</v>
      </c>
      <c r="M52" s="19"/>
      <c r="N52" s="20"/>
      <c r="O52" s="29"/>
      <c r="P52" s="29"/>
      <c r="Q52" s="29"/>
      <c r="R52" s="3" t="s">
        <v>374</v>
      </c>
    </row>
    <row r="53" spans="1:19" ht="15" customHeight="1">
      <c r="A53" s="13"/>
      <c r="C53" s="41"/>
      <c r="D53" s="24" t="s">
        <v>259</v>
      </c>
      <c r="E53" s="19"/>
      <c r="F53" s="19"/>
      <c r="G53" s="19"/>
      <c r="H53" s="20"/>
      <c r="I53" s="590"/>
      <c r="J53" s="591"/>
      <c r="K53" s="41"/>
      <c r="L53" s="309" t="s">
        <v>8</v>
      </c>
      <c r="M53" s="19"/>
      <c r="N53" s="20"/>
      <c r="O53" s="29"/>
      <c r="P53" s="29"/>
      <c r="Q53" s="29"/>
      <c r="R53" s="117"/>
      <c r="S53" s="116"/>
    </row>
    <row r="54" spans="1:17" ht="15" customHeight="1">
      <c r="A54" s="8" t="s">
        <v>351</v>
      </c>
      <c r="B54" s="9"/>
      <c r="C54" s="40"/>
      <c r="D54" s="595" t="s">
        <v>433</v>
      </c>
      <c r="E54" s="596"/>
      <c r="F54" s="596"/>
      <c r="G54" s="596"/>
      <c r="H54" s="596"/>
      <c r="I54" s="588" t="s">
        <v>415</v>
      </c>
      <c r="J54" s="650"/>
      <c r="K54" s="283"/>
      <c r="L54" s="774" t="s">
        <v>418</v>
      </c>
      <c r="M54" s="775"/>
      <c r="N54" s="776"/>
      <c r="O54" s="29"/>
      <c r="P54" s="29"/>
      <c r="Q54" s="29"/>
    </row>
    <row r="55" spans="1:18" ht="15" customHeight="1">
      <c r="A55" s="13"/>
      <c r="C55" s="41"/>
      <c r="D55" s="661" t="s">
        <v>434</v>
      </c>
      <c r="E55" s="662"/>
      <c r="F55" s="662"/>
      <c r="G55" s="662"/>
      <c r="H55" s="662"/>
      <c r="I55" s="714"/>
      <c r="J55" s="616"/>
      <c r="K55" s="284"/>
      <c r="L55" s="592" t="s">
        <v>419</v>
      </c>
      <c r="M55" s="593"/>
      <c r="N55" s="594"/>
      <c r="O55" s="29"/>
      <c r="P55" s="29"/>
      <c r="Q55" s="29"/>
      <c r="R55" s="390" t="s">
        <v>103</v>
      </c>
    </row>
    <row r="56" spans="1:17" ht="15" customHeight="1">
      <c r="A56" s="13"/>
      <c r="C56" s="41"/>
      <c r="D56" s="661" t="s">
        <v>435</v>
      </c>
      <c r="E56" s="662"/>
      <c r="F56" s="662"/>
      <c r="G56" s="662"/>
      <c r="H56" s="662"/>
      <c r="I56" s="714"/>
      <c r="J56" s="616"/>
      <c r="K56" s="284"/>
      <c r="L56" s="592" t="s">
        <v>420</v>
      </c>
      <c r="M56" s="593"/>
      <c r="N56" s="594"/>
      <c r="O56" s="29"/>
      <c r="P56" s="29"/>
      <c r="Q56" s="29"/>
    </row>
    <row r="57" spans="1:20" ht="15" customHeight="1">
      <c r="A57" s="13"/>
      <c r="C57" s="64"/>
      <c r="D57" s="661" t="s">
        <v>102</v>
      </c>
      <c r="E57" s="662"/>
      <c r="F57" s="662"/>
      <c r="G57" s="662"/>
      <c r="H57" s="662"/>
      <c r="I57" s="714"/>
      <c r="J57" s="616"/>
      <c r="K57" s="284"/>
      <c r="L57" s="592" t="s">
        <v>421</v>
      </c>
      <c r="M57" s="593"/>
      <c r="N57" s="594"/>
      <c r="O57" s="29"/>
      <c r="P57" s="29"/>
      <c r="Q57" s="29"/>
      <c r="R57" s="3" t="s">
        <v>416</v>
      </c>
      <c r="T57" s="3" t="s">
        <v>417</v>
      </c>
    </row>
    <row r="58" spans="1:20" ht="15" customHeight="1">
      <c r="A58" s="14"/>
      <c r="B58" s="4"/>
      <c r="C58" s="89"/>
      <c r="D58" s="25"/>
      <c r="E58" s="4"/>
      <c r="F58" s="4"/>
      <c r="G58" s="4"/>
      <c r="H58" s="4"/>
      <c r="I58" s="651"/>
      <c r="J58" s="652"/>
      <c r="K58" s="285"/>
      <c r="L58" s="25" t="s">
        <v>422</v>
      </c>
      <c r="M58" s="269"/>
      <c r="N58" s="113"/>
      <c r="O58" s="29"/>
      <c r="P58" s="29"/>
      <c r="Q58" s="29"/>
      <c r="R58" s="117"/>
      <c r="T58" s="117"/>
    </row>
    <row r="59" spans="1:18" ht="15" customHeight="1">
      <c r="A59" s="8" t="s">
        <v>336</v>
      </c>
      <c r="B59" s="77"/>
      <c r="C59" s="40"/>
      <c r="D59" s="23" t="s">
        <v>9</v>
      </c>
      <c r="E59" s="6"/>
      <c r="F59" s="6"/>
      <c r="G59" s="6"/>
      <c r="H59" s="6"/>
      <c r="I59" s="6"/>
      <c r="J59" s="6"/>
      <c r="K59" s="6"/>
      <c r="L59" s="6"/>
      <c r="M59" s="6"/>
      <c r="N59" s="17"/>
      <c r="O59" s="86"/>
      <c r="P59" s="29"/>
      <c r="Q59" s="29"/>
      <c r="R59" s="3" t="s">
        <v>376</v>
      </c>
    </row>
    <row r="60" spans="1:18" ht="15" customHeight="1">
      <c r="A60" s="13"/>
      <c r="C60" s="41"/>
      <c r="D60" s="24" t="s">
        <v>104</v>
      </c>
      <c r="E60" s="19"/>
      <c r="F60" s="19"/>
      <c r="G60" s="19"/>
      <c r="H60" s="19"/>
      <c r="I60" s="19"/>
      <c r="J60" s="19"/>
      <c r="K60" s="19"/>
      <c r="L60" s="19"/>
      <c r="M60" s="19"/>
      <c r="N60" s="20"/>
      <c r="O60" s="86"/>
      <c r="P60" s="29"/>
      <c r="Q60" s="29"/>
      <c r="R60" s="3" t="s">
        <v>377</v>
      </c>
    </row>
    <row r="61" spans="1:17" ht="15" customHeight="1">
      <c r="A61" s="13"/>
      <c r="C61" s="41"/>
      <c r="D61" s="24" t="s">
        <v>204</v>
      </c>
      <c r="E61" s="19"/>
      <c r="F61" s="19"/>
      <c r="G61" s="19"/>
      <c r="H61" s="19"/>
      <c r="I61" s="19"/>
      <c r="J61" s="19"/>
      <c r="K61" s="19"/>
      <c r="L61" s="19"/>
      <c r="M61" s="19"/>
      <c r="N61" s="20"/>
      <c r="O61" s="86"/>
      <c r="P61" s="29"/>
      <c r="Q61" s="29"/>
    </row>
    <row r="62" spans="1:17" ht="15" customHeight="1">
      <c r="A62" s="13"/>
      <c r="C62" s="41"/>
      <c r="D62" s="24" t="s">
        <v>205</v>
      </c>
      <c r="E62" s="19"/>
      <c r="F62" s="19"/>
      <c r="G62" s="19"/>
      <c r="H62" s="19"/>
      <c r="I62" s="19"/>
      <c r="J62" s="19"/>
      <c r="K62" s="19"/>
      <c r="L62" s="19"/>
      <c r="M62" s="19"/>
      <c r="N62" s="20"/>
      <c r="O62" s="86"/>
      <c r="P62" s="29"/>
      <c r="Q62" s="29"/>
    </row>
    <row r="63" spans="1:18" ht="15" customHeight="1">
      <c r="A63" s="14"/>
      <c r="B63" s="4"/>
      <c r="C63" s="26"/>
      <c r="D63" s="25" t="s">
        <v>105</v>
      </c>
      <c r="E63" s="4"/>
      <c r="F63" s="4"/>
      <c r="G63" s="4"/>
      <c r="H63" s="4"/>
      <c r="I63" s="4"/>
      <c r="J63" s="4"/>
      <c r="K63" s="4"/>
      <c r="L63" s="4"/>
      <c r="M63" s="4"/>
      <c r="N63" s="11"/>
      <c r="O63" s="86"/>
      <c r="P63" s="29"/>
      <c r="Q63" s="29"/>
      <c r="R63" s="117"/>
    </row>
    <row r="64" spans="1:18" ht="15" customHeight="1">
      <c r="A64" s="109" t="s">
        <v>69</v>
      </c>
      <c r="B64" s="111"/>
      <c r="C64" s="65"/>
      <c r="D64" s="24" t="s">
        <v>288</v>
      </c>
      <c r="E64" s="19"/>
      <c r="F64" s="19"/>
      <c r="G64" s="19"/>
      <c r="H64" s="19"/>
      <c r="I64" s="19"/>
      <c r="J64" s="19"/>
      <c r="K64" s="19"/>
      <c r="L64" s="19"/>
      <c r="M64" s="19"/>
      <c r="N64" s="20"/>
      <c r="O64" s="13"/>
      <c r="R64" s="244" t="b">
        <v>0</v>
      </c>
    </row>
    <row r="65" spans="1:18" ht="15" customHeight="1">
      <c r="A65" s="185"/>
      <c r="B65" s="111"/>
      <c r="C65" s="65"/>
      <c r="D65" s="24" t="s">
        <v>289</v>
      </c>
      <c r="E65" s="19"/>
      <c r="F65" s="19"/>
      <c r="G65" s="19"/>
      <c r="H65" s="19"/>
      <c r="I65" s="19"/>
      <c r="J65" s="19"/>
      <c r="K65" s="19"/>
      <c r="L65" s="19"/>
      <c r="M65" s="19"/>
      <c r="N65" s="20"/>
      <c r="O65" s="13"/>
      <c r="R65" s="244" t="b">
        <v>0</v>
      </c>
    </row>
    <row r="66" spans="1:18" ht="15" customHeight="1">
      <c r="A66" s="110"/>
      <c r="B66" s="111"/>
      <c r="C66" s="65"/>
      <c r="D66" s="24" t="s">
        <v>290</v>
      </c>
      <c r="E66" s="19"/>
      <c r="F66" s="19"/>
      <c r="G66" s="19"/>
      <c r="H66" s="19"/>
      <c r="I66" s="19"/>
      <c r="J66" s="19"/>
      <c r="K66" s="19"/>
      <c r="L66" s="19"/>
      <c r="M66" s="19"/>
      <c r="N66" s="20"/>
      <c r="O66" s="13"/>
      <c r="R66" s="244" t="b">
        <v>0</v>
      </c>
    </row>
    <row r="67" spans="1:18" ht="15" customHeight="1">
      <c r="A67" s="110"/>
      <c r="B67" s="111"/>
      <c r="C67" s="65"/>
      <c r="D67" s="24" t="s">
        <v>78</v>
      </c>
      <c r="E67" s="19"/>
      <c r="F67" s="19"/>
      <c r="G67" s="19"/>
      <c r="H67" s="19"/>
      <c r="I67" s="19"/>
      <c r="J67" s="19"/>
      <c r="K67" s="19"/>
      <c r="L67" s="19"/>
      <c r="M67" s="19"/>
      <c r="N67" s="20"/>
      <c r="O67" s="13"/>
      <c r="R67" s="244" t="b">
        <v>0</v>
      </c>
    </row>
    <row r="68" spans="1:18" ht="15" customHeight="1">
      <c r="A68" s="112"/>
      <c r="B68" s="113"/>
      <c r="C68" s="65"/>
      <c r="D68" s="25" t="s">
        <v>70</v>
      </c>
      <c r="E68" s="19"/>
      <c r="F68" s="19"/>
      <c r="G68" s="19"/>
      <c r="H68" s="19"/>
      <c r="I68" s="19"/>
      <c r="J68" s="19"/>
      <c r="K68" s="19"/>
      <c r="L68" s="19"/>
      <c r="M68" s="19"/>
      <c r="N68" s="20"/>
      <c r="O68" s="13"/>
      <c r="R68" s="244" t="b">
        <v>0</v>
      </c>
    </row>
    <row r="69" spans="1:18" ht="15" customHeight="1">
      <c r="A69" s="590" t="s">
        <v>17</v>
      </c>
      <c r="B69" s="620"/>
      <c r="C69" s="98"/>
      <c r="D69" s="202" t="s">
        <v>202</v>
      </c>
      <c r="E69" s="6"/>
      <c r="F69" s="6"/>
      <c r="G69" s="6"/>
      <c r="H69" s="6"/>
      <c r="I69" s="6"/>
      <c r="J69" s="6"/>
      <c r="K69" s="6"/>
      <c r="L69" s="6"/>
      <c r="M69" s="6"/>
      <c r="N69" s="17"/>
      <c r="O69" s="13"/>
      <c r="R69" s="244" t="b">
        <v>0</v>
      </c>
    </row>
    <row r="70" spans="1:18" ht="15" customHeight="1">
      <c r="A70" s="610"/>
      <c r="B70" s="620"/>
      <c r="C70" s="65"/>
      <c r="D70" s="24" t="s">
        <v>34</v>
      </c>
      <c r="E70" s="19"/>
      <c r="F70" s="19"/>
      <c r="G70" s="19"/>
      <c r="H70" s="19"/>
      <c r="I70" s="19"/>
      <c r="J70" s="19"/>
      <c r="K70" s="19"/>
      <c r="L70" s="68"/>
      <c r="M70" s="51"/>
      <c r="N70" s="52"/>
      <c r="O70" s="13"/>
      <c r="R70" s="244" t="b">
        <v>0</v>
      </c>
    </row>
    <row r="71" spans="1:18" ht="15" customHeight="1">
      <c r="A71" s="610"/>
      <c r="B71" s="620"/>
      <c r="C71" s="65"/>
      <c r="D71" s="24" t="s">
        <v>44</v>
      </c>
      <c r="E71" s="19"/>
      <c r="F71" s="19"/>
      <c r="G71" s="19"/>
      <c r="H71" s="19"/>
      <c r="I71" s="19"/>
      <c r="J71" s="19"/>
      <c r="K71" s="19"/>
      <c r="L71" s="68"/>
      <c r="M71" s="51"/>
      <c r="N71" s="52"/>
      <c r="O71" s="13"/>
      <c r="R71" s="244" t="b">
        <v>0</v>
      </c>
    </row>
    <row r="72" spans="1:18" ht="15" customHeight="1">
      <c r="A72" s="610"/>
      <c r="B72" s="620"/>
      <c r="C72" s="65"/>
      <c r="D72" s="24" t="s">
        <v>45</v>
      </c>
      <c r="E72" s="19"/>
      <c r="F72" s="19"/>
      <c r="G72" s="19"/>
      <c r="H72" s="19"/>
      <c r="I72" s="19"/>
      <c r="J72" s="19"/>
      <c r="K72" s="19"/>
      <c r="L72" s="68"/>
      <c r="M72" s="51"/>
      <c r="N72" s="52"/>
      <c r="O72" s="13"/>
      <c r="R72" s="244" t="b">
        <v>0</v>
      </c>
    </row>
    <row r="73" spans="1:18" ht="15" customHeight="1">
      <c r="A73" s="610"/>
      <c r="B73" s="620"/>
      <c r="C73" s="65"/>
      <c r="D73" s="24" t="s">
        <v>112</v>
      </c>
      <c r="E73" s="19"/>
      <c r="F73" s="19"/>
      <c r="G73" s="19"/>
      <c r="H73" s="19"/>
      <c r="I73" s="19"/>
      <c r="J73" s="19"/>
      <c r="K73" s="19"/>
      <c r="L73" s="68"/>
      <c r="M73" s="51"/>
      <c r="N73" s="52"/>
      <c r="O73" s="13"/>
      <c r="R73" s="244" t="b">
        <v>0</v>
      </c>
    </row>
    <row r="74" spans="1:18" ht="15" customHeight="1">
      <c r="A74" s="610"/>
      <c r="B74" s="620"/>
      <c r="C74" s="65"/>
      <c r="D74" s="24" t="s">
        <v>49</v>
      </c>
      <c r="E74" s="19"/>
      <c r="F74" s="19"/>
      <c r="G74" s="19"/>
      <c r="H74" s="19"/>
      <c r="I74" s="19"/>
      <c r="J74" s="19"/>
      <c r="K74" s="19"/>
      <c r="L74" s="68"/>
      <c r="M74" s="51"/>
      <c r="N74" s="52"/>
      <c r="O74" s="13"/>
      <c r="R74" s="244" t="b">
        <v>0</v>
      </c>
    </row>
    <row r="75" spans="1:18" ht="15" customHeight="1">
      <c r="A75" s="612"/>
      <c r="B75" s="621"/>
      <c r="C75" s="38"/>
      <c r="D75" s="25" t="s">
        <v>109</v>
      </c>
      <c r="E75" s="4"/>
      <c r="F75" s="4"/>
      <c r="G75" s="4"/>
      <c r="H75" s="4"/>
      <c r="I75" s="4"/>
      <c r="J75" s="4"/>
      <c r="K75" s="4"/>
      <c r="L75" s="69"/>
      <c r="M75" s="36"/>
      <c r="N75" s="53"/>
      <c r="O75" s="13"/>
      <c r="R75" s="244" t="b">
        <v>0</v>
      </c>
    </row>
    <row r="76" spans="1:20" ht="15" customHeight="1">
      <c r="A76" s="92" t="s">
        <v>163</v>
      </c>
      <c r="B76" s="29"/>
      <c r="C76" s="29"/>
      <c r="D76" s="29"/>
      <c r="E76" s="29"/>
      <c r="F76" s="29"/>
      <c r="G76" s="29"/>
      <c r="H76" s="29"/>
      <c r="I76" s="29"/>
      <c r="J76" s="29"/>
      <c r="K76" s="29"/>
      <c r="L76" s="29"/>
      <c r="M76" s="29"/>
      <c r="N76" s="29"/>
      <c r="O76" s="29"/>
      <c r="P76" s="29"/>
      <c r="Q76" s="29"/>
      <c r="R76" s="60"/>
      <c r="S76" s="60"/>
      <c r="T76" s="60"/>
    </row>
    <row r="77" spans="1:20" ht="15" customHeight="1">
      <c r="A77" s="723" t="s">
        <v>158</v>
      </c>
      <c r="B77" s="549"/>
      <c r="C77" s="153"/>
      <c r="D77" s="767" t="s">
        <v>726</v>
      </c>
      <c r="E77" s="596"/>
      <c r="F77" s="596"/>
      <c r="G77" s="596"/>
      <c r="H77" s="596"/>
      <c r="I77" s="596"/>
      <c r="J77" s="596"/>
      <c r="K77" s="596"/>
      <c r="L77" s="596"/>
      <c r="M77" s="596"/>
      <c r="N77" s="768"/>
      <c r="O77" s="29"/>
      <c r="P77" s="29"/>
      <c r="Q77" s="29"/>
      <c r="R77" s="3" t="s">
        <v>374</v>
      </c>
      <c r="S77" s="60"/>
      <c r="T77" s="60"/>
    </row>
    <row r="78" spans="1:20" ht="15" customHeight="1">
      <c r="A78" s="550"/>
      <c r="B78" s="552"/>
      <c r="C78" s="298"/>
      <c r="D78" s="715" t="s">
        <v>727</v>
      </c>
      <c r="E78" s="492"/>
      <c r="F78" s="492"/>
      <c r="G78" s="492"/>
      <c r="H78" s="492"/>
      <c r="I78" s="492"/>
      <c r="J78" s="492"/>
      <c r="K78" s="492"/>
      <c r="L78" s="492"/>
      <c r="M78" s="492"/>
      <c r="N78" s="493"/>
      <c r="O78" s="29"/>
      <c r="P78" s="29"/>
      <c r="Q78" s="29"/>
      <c r="R78" s="117"/>
      <c r="S78" s="227">
        <f>IF(R78="",0,IF(R78=1,1,2))</f>
        <v>0</v>
      </c>
      <c r="T78" s="60"/>
    </row>
    <row r="79" spans="1:20" ht="15" customHeight="1">
      <c r="A79" s="550"/>
      <c r="B79" s="552"/>
      <c r="C79" s="614" t="s">
        <v>524</v>
      </c>
      <c r="D79" s="615"/>
      <c r="E79" s="615"/>
      <c r="F79" s="615"/>
      <c r="G79" s="615"/>
      <c r="H79" s="615"/>
      <c r="I79" s="615"/>
      <c r="J79" s="615"/>
      <c r="K79" s="615"/>
      <c r="L79" s="615"/>
      <c r="M79" s="615"/>
      <c r="N79" s="616"/>
      <c r="O79" s="29"/>
      <c r="P79" s="29"/>
      <c r="Q79" s="29"/>
      <c r="R79" s="60"/>
      <c r="S79" s="60"/>
      <c r="T79" s="60"/>
    </row>
    <row r="80" spans="1:20" ht="15" customHeight="1">
      <c r="A80" s="550"/>
      <c r="B80" s="552"/>
      <c r="C80" s="615"/>
      <c r="D80" s="615"/>
      <c r="E80" s="615"/>
      <c r="F80" s="615"/>
      <c r="G80" s="615"/>
      <c r="H80" s="615"/>
      <c r="I80" s="615"/>
      <c r="J80" s="615"/>
      <c r="K80" s="615"/>
      <c r="L80" s="615"/>
      <c r="M80" s="615"/>
      <c r="N80" s="616"/>
      <c r="O80" s="29"/>
      <c r="P80" s="29"/>
      <c r="Q80" s="29"/>
      <c r="R80" s="244" t="b">
        <v>0</v>
      </c>
      <c r="S80" s="60"/>
      <c r="T80" s="60"/>
    </row>
    <row r="81" spans="1:20" ht="15" customHeight="1">
      <c r="A81" s="743" t="s">
        <v>92</v>
      </c>
      <c r="B81" s="744"/>
      <c r="C81" s="231"/>
      <c r="D81" s="779" t="s">
        <v>161</v>
      </c>
      <c r="E81" s="712"/>
      <c r="F81" s="712"/>
      <c r="G81" s="713"/>
      <c r="H81" s="622" t="s">
        <v>248</v>
      </c>
      <c r="I81" s="539"/>
      <c r="J81" s="540"/>
      <c r="K81" s="220"/>
      <c r="L81" s="773" t="s">
        <v>303</v>
      </c>
      <c r="M81" s="712"/>
      <c r="N81" s="713"/>
      <c r="O81" s="29"/>
      <c r="P81" s="29"/>
      <c r="Q81" s="29"/>
      <c r="R81" s="244" t="b">
        <v>0</v>
      </c>
      <c r="S81" s="60"/>
      <c r="T81" s="60"/>
    </row>
    <row r="82" spans="1:20" ht="15" customHeight="1">
      <c r="A82" s="745"/>
      <c r="B82" s="746"/>
      <c r="C82" s="308"/>
      <c r="D82" s="752" t="s">
        <v>162</v>
      </c>
      <c r="E82" s="647"/>
      <c r="F82" s="647"/>
      <c r="G82" s="648"/>
      <c r="H82" s="740" t="s">
        <v>249</v>
      </c>
      <c r="I82" s="741"/>
      <c r="J82" s="742"/>
      <c r="K82" s="221"/>
      <c r="L82" s="778" t="s">
        <v>304</v>
      </c>
      <c r="M82" s="647"/>
      <c r="N82" s="648"/>
      <c r="O82" s="29"/>
      <c r="P82" s="29"/>
      <c r="Q82" s="29"/>
      <c r="R82" s="244" t="b">
        <v>0</v>
      </c>
      <c r="S82" s="60"/>
      <c r="T82" s="60"/>
    </row>
    <row r="83" spans="1:20" ht="15" customHeight="1">
      <c r="A83" s="747"/>
      <c r="B83" s="748"/>
      <c r="C83" s="215"/>
      <c r="D83" s="780" t="s">
        <v>113</v>
      </c>
      <c r="E83" s="598"/>
      <c r="F83" s="598"/>
      <c r="G83" s="599"/>
      <c r="H83" s="553"/>
      <c r="I83" s="554"/>
      <c r="J83" s="555"/>
      <c r="K83" s="222"/>
      <c r="L83" s="749" t="s">
        <v>255</v>
      </c>
      <c r="M83" s="750"/>
      <c r="N83" s="751"/>
      <c r="O83" s="29"/>
      <c r="P83" s="29"/>
      <c r="Q83" s="29"/>
      <c r="R83" s="117"/>
      <c r="S83" s="60"/>
      <c r="T83" s="60"/>
    </row>
    <row r="84" spans="1:20" ht="15" customHeight="1">
      <c r="A84" s="753" t="s">
        <v>12</v>
      </c>
      <c r="B84" s="754"/>
      <c r="C84" s="232"/>
      <c r="D84" s="739" t="s">
        <v>164</v>
      </c>
      <c r="E84" s="712"/>
      <c r="F84" s="712"/>
      <c r="G84" s="712"/>
      <c r="H84" s="712"/>
      <c r="I84" s="712"/>
      <c r="J84" s="712"/>
      <c r="K84" s="712"/>
      <c r="L84" s="712"/>
      <c r="M84" s="712"/>
      <c r="N84" s="713"/>
      <c r="O84" s="29"/>
      <c r="P84" s="29"/>
      <c r="Q84" s="29"/>
      <c r="R84" s="60"/>
      <c r="S84" s="60"/>
      <c r="T84" s="60"/>
    </row>
    <row r="85" spans="1:20" ht="15" customHeight="1">
      <c r="A85" s="755"/>
      <c r="B85" s="756"/>
      <c r="C85" s="233"/>
      <c r="D85" s="718" t="s">
        <v>165</v>
      </c>
      <c r="E85" s="647"/>
      <c r="F85" s="647"/>
      <c r="G85" s="647"/>
      <c r="H85" s="647"/>
      <c r="I85" s="647"/>
      <c r="J85" s="647"/>
      <c r="K85" s="647"/>
      <c r="L85" s="647"/>
      <c r="M85" s="647"/>
      <c r="N85" s="648"/>
      <c r="O85" s="29"/>
      <c r="P85" s="29"/>
      <c r="Q85" s="29"/>
      <c r="R85" s="60"/>
      <c r="S85" s="60"/>
      <c r="T85" s="60"/>
    </row>
    <row r="86" spans="1:20" ht="15" customHeight="1">
      <c r="A86" s="755"/>
      <c r="B86" s="756"/>
      <c r="C86" s="233"/>
      <c r="D86" s="718" t="s">
        <v>11</v>
      </c>
      <c r="E86" s="647"/>
      <c r="F86" s="647"/>
      <c r="G86" s="647"/>
      <c r="H86" s="647"/>
      <c r="I86" s="647"/>
      <c r="J86" s="647"/>
      <c r="K86" s="647"/>
      <c r="L86" s="647"/>
      <c r="M86" s="647"/>
      <c r="N86" s="648"/>
      <c r="O86" s="29"/>
      <c r="P86" s="29"/>
      <c r="Q86" s="29"/>
      <c r="R86" s="60"/>
      <c r="S86" s="60"/>
      <c r="T86" s="60"/>
    </row>
    <row r="87" spans="1:20" ht="15" customHeight="1">
      <c r="A87" s="757"/>
      <c r="B87" s="758"/>
      <c r="C87" s="234"/>
      <c r="D87" s="719" t="s">
        <v>10</v>
      </c>
      <c r="E87" s="598"/>
      <c r="F87" s="598"/>
      <c r="G87" s="598"/>
      <c r="H87" s="598"/>
      <c r="I87" s="598"/>
      <c r="J87" s="598"/>
      <c r="K87" s="598"/>
      <c r="L87" s="598"/>
      <c r="M87" s="598"/>
      <c r="N87" s="599"/>
      <c r="O87" s="29"/>
      <c r="P87" s="29"/>
      <c r="Q87" s="29"/>
      <c r="R87" s="117"/>
      <c r="S87" s="60"/>
      <c r="T87" s="60"/>
    </row>
    <row r="88" spans="1:20" ht="15" customHeight="1">
      <c r="A88" s="3" t="s">
        <v>320</v>
      </c>
      <c r="B88" s="206"/>
      <c r="C88" s="29"/>
      <c r="D88" s="29"/>
      <c r="E88" s="29"/>
      <c r="F88" s="29"/>
      <c r="G88" s="29"/>
      <c r="H88" s="95"/>
      <c r="I88" s="80"/>
      <c r="J88" s="82"/>
      <c r="K88" s="80"/>
      <c r="L88" s="80"/>
      <c r="M88" s="80"/>
      <c r="N88" s="80"/>
      <c r="O88" s="29"/>
      <c r="P88" s="29"/>
      <c r="Q88" s="29"/>
      <c r="R88" s="60"/>
      <c r="S88" s="60"/>
      <c r="T88" s="60"/>
    </row>
    <row r="89" spans="1:20" ht="15" customHeight="1">
      <c r="A89" s="759" t="s">
        <v>246</v>
      </c>
      <c r="B89" s="480"/>
      <c r="C89" s="480"/>
      <c r="D89" s="480"/>
      <c r="E89" s="480"/>
      <c r="F89" s="481"/>
      <c r="G89" s="781" t="s">
        <v>254</v>
      </c>
      <c r="H89" s="480"/>
      <c r="I89" s="480"/>
      <c r="J89" s="480"/>
      <c r="K89" s="480"/>
      <c r="L89" s="480"/>
      <c r="M89" s="480"/>
      <c r="N89" s="481"/>
      <c r="R89" s="3" t="s">
        <v>246</v>
      </c>
      <c r="T89" s="3" t="s">
        <v>276</v>
      </c>
    </row>
    <row r="90" spans="1:20" ht="15" customHeight="1">
      <c r="A90" s="304"/>
      <c r="B90" s="581" t="s">
        <v>270</v>
      </c>
      <c r="C90" s="582"/>
      <c r="D90" s="582"/>
      <c r="E90" s="582"/>
      <c r="F90" s="483"/>
      <c r="G90" s="44"/>
      <c r="H90" s="711" t="s">
        <v>273</v>
      </c>
      <c r="I90" s="712"/>
      <c r="J90" s="712"/>
      <c r="K90" s="712"/>
      <c r="L90" s="712"/>
      <c r="M90" s="712"/>
      <c r="N90" s="713"/>
      <c r="R90" s="117"/>
      <c r="T90" s="117"/>
    </row>
    <row r="91" spans="1:18" ht="15" customHeight="1">
      <c r="A91" s="305"/>
      <c r="B91" s="653" t="s">
        <v>269</v>
      </c>
      <c r="C91" s="654"/>
      <c r="D91" s="654"/>
      <c r="E91" s="654"/>
      <c r="F91" s="443"/>
      <c r="G91" s="45"/>
      <c r="H91" s="646" t="s">
        <v>274</v>
      </c>
      <c r="I91" s="647"/>
      <c r="J91" s="647"/>
      <c r="K91" s="647"/>
      <c r="L91" s="647"/>
      <c r="M91" s="647"/>
      <c r="N91" s="648"/>
      <c r="R91" s="290" t="b">
        <v>0</v>
      </c>
    </row>
    <row r="92" spans="1:18" ht="15" customHeight="1">
      <c r="A92" s="306"/>
      <c r="B92" s="653" t="s">
        <v>268</v>
      </c>
      <c r="C92" s="654"/>
      <c r="D92" s="654"/>
      <c r="E92" s="654"/>
      <c r="F92" s="443"/>
      <c r="G92" s="45"/>
      <c r="H92" s="646" t="s">
        <v>275</v>
      </c>
      <c r="I92" s="647"/>
      <c r="J92" s="647"/>
      <c r="K92" s="647"/>
      <c r="L92" s="647"/>
      <c r="M92" s="647"/>
      <c r="N92" s="648"/>
      <c r="R92" s="3" t="s">
        <v>326</v>
      </c>
    </row>
    <row r="93" spans="1:18" ht="15" customHeight="1">
      <c r="A93" s="307"/>
      <c r="B93" s="583" t="s">
        <v>300</v>
      </c>
      <c r="C93" s="584"/>
      <c r="D93" s="584"/>
      <c r="E93" s="584"/>
      <c r="F93" s="495"/>
      <c r="G93" s="45"/>
      <c r="H93" s="646" t="s">
        <v>271</v>
      </c>
      <c r="I93" s="647"/>
      <c r="J93" s="647"/>
      <c r="K93" s="647"/>
      <c r="L93" s="647"/>
      <c r="M93" s="647"/>
      <c r="N93" s="648"/>
      <c r="R93" s="3" t="s">
        <v>327</v>
      </c>
    </row>
    <row r="94" spans="1:19" ht="15" customHeight="1">
      <c r="A94" s="216"/>
      <c r="B94" s="711" t="s">
        <v>13</v>
      </c>
      <c r="C94" s="712"/>
      <c r="D94" s="712"/>
      <c r="E94" s="712"/>
      <c r="F94" s="713"/>
      <c r="G94" s="215"/>
      <c r="H94" s="597" t="s">
        <v>299</v>
      </c>
      <c r="I94" s="598"/>
      <c r="J94" s="598"/>
      <c r="K94" s="598"/>
      <c r="L94" s="598"/>
      <c r="M94" s="598"/>
      <c r="N94" s="599"/>
      <c r="R94" s="117"/>
      <c r="S94" s="3" t="s">
        <v>251</v>
      </c>
    </row>
    <row r="95" spans="1:19" ht="18" customHeight="1">
      <c r="A95" s="217"/>
      <c r="B95" s="597" t="s">
        <v>14</v>
      </c>
      <c r="C95" s="598"/>
      <c r="D95" s="598"/>
      <c r="E95" s="598"/>
      <c r="F95" s="599"/>
      <c r="G95" s="223" t="s">
        <v>22</v>
      </c>
      <c r="H95" s="226"/>
      <c r="I95" s="225"/>
      <c r="J95" s="224" t="s">
        <v>252</v>
      </c>
      <c r="K95" s="225"/>
      <c r="L95" s="224" t="s">
        <v>253</v>
      </c>
      <c r="M95" s="225"/>
      <c r="N95" s="224" t="s">
        <v>35</v>
      </c>
      <c r="P95" s="2"/>
      <c r="R95" s="117"/>
      <c r="S95" s="3" t="s">
        <v>250</v>
      </c>
    </row>
    <row r="96" spans="15:17" ht="15" customHeight="1">
      <c r="O96" s="2"/>
      <c r="P96" s="2"/>
      <c r="Q96" s="2"/>
    </row>
    <row r="97" spans="7:17" ht="15" customHeight="1">
      <c r="G97" s="444" t="s">
        <v>120</v>
      </c>
      <c r="H97" s="445"/>
      <c r="O97" s="2"/>
      <c r="P97" s="2"/>
      <c r="Q97" s="2"/>
    </row>
    <row r="98" spans="1:23" ht="15" customHeight="1">
      <c r="A98" s="92" t="s">
        <v>221</v>
      </c>
      <c r="L98" s="76" t="s">
        <v>64</v>
      </c>
      <c r="M98" s="470">
        <f>+'報告書'!K1</f>
        <v>45474</v>
      </c>
      <c r="N98" s="471"/>
      <c r="P98" s="186"/>
      <c r="W98" s="3" t="s">
        <v>54</v>
      </c>
    </row>
    <row r="99" spans="1:23" ht="15" customHeight="1">
      <c r="A99" s="3" t="s">
        <v>302</v>
      </c>
      <c r="J99" s="472">
        <f>+IF('表紙'!I5=0,"",'表紙'!I5)</f>
      </c>
      <c r="K99" s="473"/>
      <c r="L99" s="473"/>
      <c r="M99" s="473"/>
      <c r="N99" s="474"/>
      <c r="Q99" s="3" t="s">
        <v>176</v>
      </c>
      <c r="R99" s="3" t="s">
        <v>177</v>
      </c>
      <c r="S99" s="3" t="s">
        <v>178</v>
      </c>
      <c r="T99" s="3" t="s">
        <v>179</v>
      </c>
      <c r="U99" s="3" t="s">
        <v>180</v>
      </c>
      <c r="W99" s="3">
        <f>+C12</f>
      </c>
    </row>
    <row r="100" spans="1:27" ht="15" customHeight="1">
      <c r="A100" s="585" t="s">
        <v>352</v>
      </c>
      <c r="B100" s="585"/>
      <c r="C100" s="585" t="s">
        <v>227</v>
      </c>
      <c r="D100" s="585"/>
      <c r="E100" s="585" t="s">
        <v>174</v>
      </c>
      <c r="F100" s="585" t="s">
        <v>228</v>
      </c>
      <c r="G100" s="717"/>
      <c r="H100" s="717"/>
      <c r="I100" s="717"/>
      <c r="J100" s="717"/>
      <c r="K100" s="717"/>
      <c r="L100" s="717"/>
      <c r="M100" s="702" t="s">
        <v>229</v>
      </c>
      <c r="N100" s="702" t="s">
        <v>230</v>
      </c>
      <c r="W100" s="716" t="s">
        <v>172</v>
      </c>
      <c r="X100" s="716" t="s">
        <v>173</v>
      </c>
      <c r="Y100" s="760" t="s">
        <v>98</v>
      </c>
      <c r="Z100" s="760"/>
      <c r="AA100" s="760"/>
    </row>
    <row r="101" spans="1:27" ht="15" customHeight="1">
      <c r="A101" s="585"/>
      <c r="B101" s="585"/>
      <c r="C101" s="585"/>
      <c r="D101" s="585"/>
      <c r="E101" s="717"/>
      <c r="F101" s="717"/>
      <c r="G101" s="717"/>
      <c r="H101" s="717"/>
      <c r="I101" s="717"/>
      <c r="J101" s="717"/>
      <c r="K101" s="717"/>
      <c r="L101" s="717"/>
      <c r="M101" s="703"/>
      <c r="N101" s="703"/>
      <c r="W101" s="716"/>
      <c r="X101" s="716"/>
      <c r="Y101" s="760"/>
      <c r="Z101" s="760"/>
      <c r="AA101" s="760"/>
    </row>
    <row r="102" spans="1:24" ht="15" customHeight="1">
      <c r="A102" s="585" t="s">
        <v>222</v>
      </c>
      <c r="B102" s="585"/>
      <c r="C102" s="585" t="s">
        <v>223</v>
      </c>
      <c r="D102" s="585"/>
      <c r="E102" s="173"/>
      <c r="F102" s="39"/>
      <c r="G102" s="46"/>
      <c r="H102" s="46"/>
      <c r="I102" s="46"/>
      <c r="J102" s="46"/>
      <c r="K102" s="46"/>
      <c r="L102" s="47"/>
      <c r="M102" s="586">
        <f>IF(AND(P102=FALSE,P103=FALSE),Y103,2)</f>
      </c>
      <c r="N102" s="586">
        <f>+Y103</f>
      </c>
      <c r="P102" s="244" t="b">
        <v>0</v>
      </c>
      <c r="Q102" s="244" t="b">
        <v>0</v>
      </c>
      <c r="R102" s="244" t="b">
        <v>0</v>
      </c>
      <c r="S102" s="244" t="b">
        <v>0</v>
      </c>
      <c r="T102" s="244" t="b">
        <v>0</v>
      </c>
      <c r="U102" s="244"/>
      <c r="V102" s="244"/>
      <c r="W102" s="71">
        <f>+IF(AND(Q102=FALSE,R102=FALSE,S102=FALSE,T102=FALSE),0,IF(Q102=TRUE,2,IF(R102=TRUE,2,IF(S102=TRUE,2,IF(T102=TRUE,2,0)))))</f>
        <v>0</v>
      </c>
      <c r="X102" s="71">
        <f>+IF(AND(Q102=FALSE,R102=FALSE,S102=FALSE,T102=FALSE),0,IF(Q102=TRUE,2,IF(R102=TRUE,2,IF(S102=TRUE,2,IF(T102=TRUE,2,0)))))</f>
        <v>0</v>
      </c>
    </row>
    <row r="103" spans="1:25" ht="15" customHeight="1">
      <c r="A103" s="585"/>
      <c r="B103" s="585"/>
      <c r="C103" s="585" t="s">
        <v>224</v>
      </c>
      <c r="D103" s="585"/>
      <c r="E103" s="173"/>
      <c r="F103" s="39"/>
      <c r="G103" s="175"/>
      <c r="H103" s="46"/>
      <c r="I103" s="46"/>
      <c r="J103" s="46"/>
      <c r="K103" s="46"/>
      <c r="L103" s="47"/>
      <c r="M103" s="587"/>
      <c r="N103" s="587"/>
      <c r="P103" s="244" t="b">
        <v>0</v>
      </c>
      <c r="Q103" s="244" t="b">
        <v>0</v>
      </c>
      <c r="R103" s="244" t="b">
        <v>0</v>
      </c>
      <c r="S103" s="244" t="b">
        <v>0</v>
      </c>
      <c r="T103" s="244" t="b">
        <v>0</v>
      </c>
      <c r="U103" s="244"/>
      <c r="V103" s="244"/>
      <c r="W103" s="71">
        <f>+IF(AND(Q103=FALSE,R103=FALSE,S103=FALSE,T103=FALSE),0,IF(Q103=TRUE,2,IF(R103=TRUE,2,IF(S103=TRUE,2,IF(T103=TRUE,2,0)))))</f>
        <v>0</v>
      </c>
      <c r="X103" s="71">
        <f>+IF(AND(Q103=FALSE,R103=FALSE,S103=FALSE,T103=FALSE),0,IF(Q103=TRUE,2,IF(R103=TRUE,2,IF(S103=TRUE,2,IF(T103=TRUE,2,0)))))</f>
        <v>0</v>
      </c>
      <c r="Y103" s="3">
        <f>IF(W99&gt;=10,IF(MAX(X102,X103)=0,"",MAX(X102,X103)),IF(MAX(W102:W103)=0,"",MAX(W102,W103)))</f>
      </c>
    </row>
    <row r="104" spans="1:25" ht="15" customHeight="1">
      <c r="A104" s="585" t="s">
        <v>175</v>
      </c>
      <c r="B104" s="585"/>
      <c r="C104" s="585" t="s">
        <v>225</v>
      </c>
      <c r="D104" s="585"/>
      <c r="E104" s="49"/>
      <c r="F104" s="152"/>
      <c r="G104" s="153"/>
      <c r="H104" s="153"/>
      <c r="I104" s="153"/>
      <c r="J104" s="153"/>
      <c r="K104" s="153"/>
      <c r="L104" s="176"/>
      <c r="M104" s="586">
        <f>IF(AND(P104=FALSE),Y104,2)</f>
      </c>
      <c r="N104" s="586">
        <f>+Y104</f>
      </c>
      <c r="P104" s="244" t="b">
        <v>0</v>
      </c>
      <c r="Q104" s="244" t="b">
        <v>0</v>
      </c>
      <c r="R104" s="244" t="b">
        <v>0</v>
      </c>
      <c r="S104" s="244" t="b">
        <v>0</v>
      </c>
      <c r="T104" s="244" t="b">
        <v>0</v>
      </c>
      <c r="U104" s="244" t="b">
        <v>0</v>
      </c>
      <c r="V104" s="244"/>
      <c r="W104" s="71">
        <f>+IF(AND(Q104=FALSE,R104=FALSE,S104=FALSE,T104=FALSE,U104=FALSE),0,IF(Q104=TRUE,2,IF(R104=TRUE,2,IF(S104=TRUE,2,IF(T104=TRUE,2,IF(U104=TRUE,2,0))))))</f>
        <v>0</v>
      </c>
      <c r="X104" s="71">
        <f>+IF(AND(Q104=FALSE,R104=FALSE,S104=FALSE,T104=FALSE,U104=FALSE),0,IF(Q104=TRUE,2,IF(R104=TRUE,2,IF(S104=TRUE,2,IF(T104=TRUE,2,IF(U104=TRUE,2,0))))))</f>
        <v>0</v>
      </c>
      <c r="Y104" s="3">
        <f>IF(W99&gt;=10,IF(X104=0,"",X104),IF(W104=0,"",W104))</f>
      </c>
    </row>
    <row r="105" spans="1:22" ht="15" customHeight="1">
      <c r="A105" s="585"/>
      <c r="B105" s="585"/>
      <c r="C105" s="585"/>
      <c r="D105" s="585"/>
      <c r="E105" s="48"/>
      <c r="F105" s="26"/>
      <c r="G105" s="28"/>
      <c r="H105" s="28"/>
      <c r="I105" s="28"/>
      <c r="J105" s="28"/>
      <c r="K105" s="28"/>
      <c r="L105" s="177"/>
      <c r="M105" s="587"/>
      <c r="N105" s="587"/>
      <c r="P105" s="244"/>
      <c r="Q105" s="244"/>
      <c r="R105" s="244"/>
      <c r="S105" s="244"/>
      <c r="T105" s="244"/>
      <c r="U105" s="244"/>
      <c r="V105" s="244"/>
    </row>
    <row r="106" spans="1:25" ht="15" customHeight="1">
      <c r="A106" s="585"/>
      <c r="B106" s="585"/>
      <c r="C106" s="585" t="s">
        <v>226</v>
      </c>
      <c r="D106" s="585"/>
      <c r="E106" s="49"/>
      <c r="F106" s="152"/>
      <c r="G106" s="153"/>
      <c r="H106" s="153"/>
      <c r="I106" s="153"/>
      <c r="J106" s="153"/>
      <c r="K106" s="153"/>
      <c r="L106" s="176"/>
      <c r="M106" s="586">
        <f>IF(AND(P106=FALSE),Y106,2)</f>
      </c>
      <c r="N106" s="586">
        <f>+Y106</f>
      </c>
      <c r="P106" s="244" t="b">
        <v>0</v>
      </c>
      <c r="Q106" s="244" t="b">
        <v>0</v>
      </c>
      <c r="R106" s="244" t="b">
        <v>0</v>
      </c>
      <c r="S106" s="244" t="b">
        <v>0</v>
      </c>
      <c r="T106" s="244" t="b">
        <v>0</v>
      </c>
      <c r="U106" s="244" t="b">
        <v>0</v>
      </c>
      <c r="V106" s="244"/>
      <c r="W106" s="71">
        <f>+IF(AND(Q106=FALSE,R106=FALSE,S106=FALSE,T106=FALSE,U106=FALSE),0,IF(Q106=TRUE,2,IF(R106=TRUE,2,IF(S106=TRUE,2,IF(T106=TRUE,2,IF(U106=TRUE,2,0))))))</f>
        <v>0</v>
      </c>
      <c r="X106" s="71">
        <f>+IF(AND(Q106=FALSE,R106=FALSE,S106=FALSE,T106=FALSE,U106=FALSE),0,IF(Q106=TRUE,2,IF(R106=TRUE,2,IF(S106=TRUE,2,IF(T106=TRUE,2,IF(U106=TRUE,2,1))))))</f>
        <v>0</v>
      </c>
      <c r="Y106" s="3">
        <f>IF(W99&gt;=10,IF(X106=0,"",X106),IF(W106=0,"",W106))</f>
      </c>
    </row>
    <row r="107" spans="1:22" ht="15" customHeight="1">
      <c r="A107" s="585"/>
      <c r="B107" s="585"/>
      <c r="C107" s="585"/>
      <c r="D107" s="585"/>
      <c r="E107" s="174"/>
      <c r="F107" s="26"/>
      <c r="G107" s="28"/>
      <c r="H107" s="28"/>
      <c r="I107" s="28"/>
      <c r="J107" s="28"/>
      <c r="K107" s="28"/>
      <c r="L107" s="177"/>
      <c r="M107" s="587"/>
      <c r="N107" s="587"/>
      <c r="P107" s="244"/>
      <c r="Q107" s="244"/>
      <c r="R107" s="244"/>
      <c r="S107" s="244"/>
      <c r="T107" s="244"/>
      <c r="U107" s="244"/>
      <c r="V107" s="244"/>
    </row>
    <row r="108" spans="1:24" ht="15" customHeight="1">
      <c r="A108" s="585" t="s">
        <v>184</v>
      </c>
      <c r="B108" s="585"/>
      <c r="C108" s="735" t="s">
        <v>190</v>
      </c>
      <c r="D108" s="735"/>
      <c r="E108" s="49"/>
      <c r="F108" s="152"/>
      <c r="G108" s="153"/>
      <c r="H108" s="153"/>
      <c r="I108" s="153"/>
      <c r="J108" s="153"/>
      <c r="K108" s="153"/>
      <c r="L108" s="176"/>
      <c r="M108" s="586">
        <f>IF(AND(P108=FALSE,P110=FALSE,P112=FALSE,P114=FALSE),Y114,4)</f>
      </c>
      <c r="N108" s="586">
        <f>+Y114</f>
      </c>
      <c r="P108" s="244" t="b">
        <v>0</v>
      </c>
      <c r="Q108" s="244" t="b">
        <v>0</v>
      </c>
      <c r="R108" s="244" t="b">
        <v>0</v>
      </c>
      <c r="S108" s="244" t="b">
        <v>0</v>
      </c>
      <c r="T108" s="244" t="b">
        <v>0</v>
      </c>
      <c r="U108" s="244" t="b">
        <v>0</v>
      </c>
      <c r="V108" s="244" t="b">
        <v>0</v>
      </c>
      <c r="W108" s="71">
        <f>+IF(AND(Q108=FALSE,R108=FALSE,S108=FALSE,T108=FALSE,U108=FALSE,V108=FALSE),0,IF(Q108=TRUE,4,IF(R108=TRUE,4,IF(S108=TRUE,4,IF(T108=TRUE,4,IF(U108=TRUE,4,IF(V108=TRUE,4,0)))))))</f>
        <v>0</v>
      </c>
      <c r="X108" s="71">
        <f>+IF(AND(Q108=FALSE,R108=FALSE,S108=FALSE,T108=FALSE,U108=FALSE,V108=FALSE),0,IF(Q108=TRUE,4,IF(R108=TRUE,4,IF(S108=TRUE,4,IF(T108=TRUE,4,IF(U108=TRUE,4,IF(V108=TRUE,4,0)))))))</f>
        <v>0</v>
      </c>
    </row>
    <row r="109" spans="1:22" ht="15" customHeight="1">
      <c r="A109" s="585"/>
      <c r="B109" s="585"/>
      <c r="C109" s="735"/>
      <c r="D109" s="735"/>
      <c r="E109" s="48"/>
      <c r="F109" s="26"/>
      <c r="G109" s="28"/>
      <c r="H109" s="28"/>
      <c r="I109" s="28"/>
      <c r="J109" s="28"/>
      <c r="K109" s="28"/>
      <c r="L109" s="177"/>
      <c r="M109" s="587"/>
      <c r="N109" s="587"/>
      <c r="P109" s="244"/>
      <c r="Q109" s="244"/>
      <c r="R109" s="244"/>
      <c r="S109" s="244"/>
      <c r="T109" s="244"/>
      <c r="U109" s="244"/>
      <c r="V109" s="244"/>
    </row>
    <row r="110" spans="1:24" ht="15" customHeight="1">
      <c r="A110" s="585"/>
      <c r="B110" s="585"/>
      <c r="C110" s="585" t="s">
        <v>181</v>
      </c>
      <c r="D110" s="585"/>
      <c r="E110" s="49"/>
      <c r="F110" s="152"/>
      <c r="G110" s="153"/>
      <c r="H110" s="153"/>
      <c r="I110" s="153"/>
      <c r="J110" s="153"/>
      <c r="K110" s="153"/>
      <c r="L110" s="176"/>
      <c r="M110" s="587"/>
      <c r="N110" s="587"/>
      <c r="P110" s="244" t="b">
        <v>0</v>
      </c>
      <c r="Q110" s="244" t="b">
        <v>0</v>
      </c>
      <c r="R110" s="244" t="b">
        <v>0</v>
      </c>
      <c r="S110" s="244" t="b">
        <v>0</v>
      </c>
      <c r="T110" s="244" t="b">
        <v>0</v>
      </c>
      <c r="U110" s="244" t="b">
        <v>0</v>
      </c>
      <c r="V110" s="244"/>
      <c r="W110" s="71">
        <f>+IF(AND(Q110=FALSE,R110=FALSE,S110=FALSE,T110=FALSE,U110=FALSE),0,IF(Q110=TRUE,4,IF(R110=TRUE,4,IF(S110=TRUE,4,IF(T110=TRUE,4,IF(U110=TRUE,4,0))))))</f>
        <v>0</v>
      </c>
      <c r="X110" s="71">
        <f>+IF(AND(Q110=FALSE,R110=FALSE,S110=FALSE,T110=FALSE,U110=FALSE),0,IF(Q110=TRUE,4,IF(R110=TRUE,4,IF(S110=TRUE,4,IF(T110=TRUE,4,IF(U110=TRUE,4,0))))))</f>
        <v>0</v>
      </c>
    </row>
    <row r="111" spans="1:22" ht="15" customHeight="1">
      <c r="A111" s="585"/>
      <c r="B111" s="585"/>
      <c r="C111" s="585"/>
      <c r="D111" s="585"/>
      <c r="E111" s="48"/>
      <c r="F111" s="26"/>
      <c r="G111" s="28"/>
      <c r="H111" s="28"/>
      <c r="I111" s="28"/>
      <c r="J111" s="28"/>
      <c r="K111" s="28"/>
      <c r="L111" s="177"/>
      <c r="M111" s="587"/>
      <c r="N111" s="587"/>
      <c r="P111" s="244"/>
      <c r="Q111" s="244"/>
      <c r="R111" s="244"/>
      <c r="S111" s="244"/>
      <c r="T111" s="244"/>
      <c r="U111" s="244"/>
      <c r="V111" s="244"/>
    </row>
    <row r="112" spans="1:24" ht="15" customHeight="1">
      <c r="A112" s="585"/>
      <c r="B112" s="585"/>
      <c r="C112" s="585" t="s">
        <v>182</v>
      </c>
      <c r="D112" s="585"/>
      <c r="E112" s="49"/>
      <c r="F112" s="152"/>
      <c r="G112" s="153"/>
      <c r="H112" s="153"/>
      <c r="I112" s="153"/>
      <c r="J112" s="153"/>
      <c r="K112" s="153"/>
      <c r="L112" s="176"/>
      <c r="M112" s="587"/>
      <c r="N112" s="587"/>
      <c r="P112" s="244" t="b">
        <v>0</v>
      </c>
      <c r="Q112" s="244" t="b">
        <v>0</v>
      </c>
      <c r="R112" s="244" t="b">
        <v>0</v>
      </c>
      <c r="S112" s="244" t="b">
        <v>0</v>
      </c>
      <c r="T112" s="244" t="b">
        <v>0</v>
      </c>
      <c r="U112" s="244" t="b">
        <v>0</v>
      </c>
      <c r="V112" s="244" t="b">
        <v>0</v>
      </c>
      <c r="W112" s="71">
        <f>+IF(AND(Q112=FALSE,R112=FALSE,S112=FALSE,T112=FALSE,U112=FALSE,V112=FALSE),0,IF(Q112=TRUE,4,IF(R112=TRUE,4,IF(S112=TRUE,4,IF(T112=TRUE,4,IF(U112=TRUE,4,IF(V112=TRUE,4,0)))))))</f>
        <v>0</v>
      </c>
      <c r="X112" s="71">
        <f>+IF(AND(Q112=FALSE,R112=FALSE,S112=FALSE,T112=FALSE,U112=FALSE,V112=FALSE),0,IF(Q112=TRUE,4,IF(R112=TRUE,4,IF(S112=TRUE,4,IF(T112=TRUE,4,IF(U112=TRUE,4,IF(V112=TRUE,4,0)))))))</f>
        <v>0</v>
      </c>
    </row>
    <row r="113" spans="1:22" ht="15" customHeight="1">
      <c r="A113" s="585"/>
      <c r="B113" s="585"/>
      <c r="C113" s="585"/>
      <c r="D113" s="585"/>
      <c r="E113" s="48"/>
      <c r="F113" s="26"/>
      <c r="G113" s="28"/>
      <c r="H113" s="28"/>
      <c r="I113" s="28"/>
      <c r="J113" s="28"/>
      <c r="K113" s="28"/>
      <c r="L113" s="177"/>
      <c r="M113" s="587"/>
      <c r="N113" s="587"/>
      <c r="P113" s="244"/>
      <c r="Q113" s="244"/>
      <c r="R113" s="244"/>
      <c r="S113" s="244"/>
      <c r="T113" s="244"/>
      <c r="U113" s="244"/>
      <c r="V113" s="244"/>
    </row>
    <row r="114" spans="1:25" ht="15" customHeight="1">
      <c r="A114" s="585"/>
      <c r="B114" s="585"/>
      <c r="C114" s="585" t="s">
        <v>183</v>
      </c>
      <c r="D114" s="585"/>
      <c r="E114" s="173"/>
      <c r="F114" s="39"/>
      <c r="G114" s="46"/>
      <c r="H114" s="46"/>
      <c r="I114" s="46"/>
      <c r="J114" s="46"/>
      <c r="K114" s="46"/>
      <c r="L114" s="47"/>
      <c r="M114" s="587"/>
      <c r="N114" s="587"/>
      <c r="P114" s="244" t="b">
        <v>0</v>
      </c>
      <c r="Q114" s="244" t="b">
        <v>0</v>
      </c>
      <c r="R114" s="244" t="b">
        <v>0</v>
      </c>
      <c r="S114" s="244" t="b">
        <v>0</v>
      </c>
      <c r="T114" s="244"/>
      <c r="U114" s="244"/>
      <c r="V114" s="244"/>
      <c r="W114" s="71">
        <f>+IF(AND(Q114=FALSE,R114=FALSE,S114=FALSE),0,IF(Q114=TRUE,4,IF(R114=TRUE,4,IF(S114=TRUE,4,0))))</f>
        <v>0</v>
      </c>
      <c r="X114" s="71">
        <f>+IF(AND(Q114=FALSE,R114=FALSE,S114=FALSE),0,IF(Q114=TRUE,4,IF(R114=TRUE,4,IF(S114=TRUE,4,0))))</f>
        <v>0</v>
      </c>
      <c r="Y114" s="3">
        <f>IF(W99&gt;=10,IF(MAX(X108,X110,X112,X114)=0,"",MAX(X108,X110,X112,X114)),IF(MAX(W108,W110,W112,W114)=0,"",MAX(W108,W110,W112,W114)))</f>
      </c>
    </row>
    <row r="115" spans="1:25" ht="15" customHeight="1">
      <c r="A115" s="585" t="s">
        <v>185</v>
      </c>
      <c r="B115" s="585"/>
      <c r="C115" s="585"/>
      <c r="D115" s="585"/>
      <c r="E115" s="49"/>
      <c r="F115" s="152"/>
      <c r="G115" s="153"/>
      <c r="H115" s="153"/>
      <c r="I115" s="153"/>
      <c r="J115" s="153"/>
      <c r="K115" s="153"/>
      <c r="L115" s="176"/>
      <c r="M115" s="586">
        <f>IF(AND(P115=FALSE),Y115,2)</f>
      </c>
      <c r="N115" s="586">
        <f>+Y115</f>
      </c>
      <c r="P115" s="244" t="b">
        <v>0</v>
      </c>
      <c r="Q115" s="244" t="b">
        <v>0</v>
      </c>
      <c r="R115" s="244" t="b">
        <v>0</v>
      </c>
      <c r="S115" s="244" t="b">
        <v>0</v>
      </c>
      <c r="T115" s="244" t="b">
        <v>0</v>
      </c>
      <c r="U115" s="244" t="b">
        <v>0</v>
      </c>
      <c r="V115" s="244"/>
      <c r="W115" s="71">
        <f>+IF(AND(Q115=FALSE,R115=FALSE,S115=FALSE,T115=FALSE,U115=FALSE),0,IF(Q115=TRUE,2,IF(R115=TRUE,2,IF(S115=TRUE,2,IF(T115=TRUE,2,IF(U115=TRUE,2,0))))))</f>
        <v>0</v>
      </c>
      <c r="X115" s="71">
        <f>+IF(AND(Q115=FALSE,R115=FALSE,S115=FALSE,T115=FALSE,U115=FALSE),0,IF(Q115=TRUE,2,IF(R115=TRUE,2,IF(S115=TRUE,2,IF(T115=TRUE,2,IF(U115=TRUE,2,0))))))</f>
        <v>0</v>
      </c>
      <c r="Y115" s="3">
        <f>IF(W99&gt;=10,IF(X115=0,"",X115),IF(W115=0,"",W115))</f>
      </c>
    </row>
    <row r="116" spans="1:22" ht="15" customHeight="1">
      <c r="A116" s="585"/>
      <c r="B116" s="585"/>
      <c r="C116" s="585"/>
      <c r="D116" s="585"/>
      <c r="E116" s="48"/>
      <c r="F116" s="26"/>
      <c r="G116" s="28"/>
      <c r="H116" s="28"/>
      <c r="I116" s="28"/>
      <c r="J116" s="28"/>
      <c r="K116" s="28"/>
      <c r="L116" s="177"/>
      <c r="M116" s="587"/>
      <c r="N116" s="587"/>
      <c r="P116" s="244"/>
      <c r="Q116" s="244"/>
      <c r="R116" s="244"/>
      <c r="S116" s="244"/>
      <c r="T116" s="244"/>
      <c r="U116" s="244"/>
      <c r="V116" s="244"/>
    </row>
    <row r="117" spans="1:24" ht="15" customHeight="1">
      <c r="A117" s="604" t="s">
        <v>188</v>
      </c>
      <c r="B117" s="604" t="s">
        <v>187</v>
      </c>
      <c r="C117" s="585" t="s">
        <v>190</v>
      </c>
      <c r="D117" s="585"/>
      <c r="E117" s="49"/>
      <c r="F117" s="152"/>
      <c r="G117" s="153"/>
      <c r="H117" s="153"/>
      <c r="I117" s="153"/>
      <c r="J117" s="153"/>
      <c r="K117" s="153"/>
      <c r="L117" s="176"/>
      <c r="M117" s="586">
        <f>IF(AND(P117=FALSE,P119=FALSE,P121=FALSE),Y121,1)</f>
      </c>
      <c r="N117" s="586">
        <f>+Y121</f>
      </c>
      <c r="P117" s="244" t="b">
        <v>0</v>
      </c>
      <c r="Q117" s="244" t="b">
        <v>0</v>
      </c>
      <c r="R117" s="244" t="b">
        <v>0</v>
      </c>
      <c r="S117" s="244" t="b">
        <v>0</v>
      </c>
      <c r="T117" s="244" t="b">
        <v>0</v>
      </c>
      <c r="U117" s="244" t="b">
        <v>0</v>
      </c>
      <c r="V117" s="244" t="b">
        <v>0</v>
      </c>
      <c r="W117" s="3">
        <v>0</v>
      </c>
      <c r="X117" s="71">
        <f>+IF(AND(Q117=FALSE,R117=FALSE,S117=FALSE,T117=FALSE,U117=FALSE,V117=FALSE),0,IF(Q117=TRUE,1,IF(R117=TRUE,1,IF(S117=TRUE,1,IF(T117=TRUE,1,IF(U117=TRUE,1,IF(V117=TRUE,1,0)))))))</f>
        <v>0</v>
      </c>
    </row>
    <row r="118" spans="1:22" ht="15" customHeight="1">
      <c r="A118" s="604"/>
      <c r="B118" s="604"/>
      <c r="C118" s="585"/>
      <c r="D118" s="585"/>
      <c r="E118" s="48"/>
      <c r="F118" s="26"/>
      <c r="G118" s="28"/>
      <c r="H118" s="28"/>
      <c r="I118" s="28"/>
      <c r="J118" s="28"/>
      <c r="K118" s="28"/>
      <c r="L118" s="177"/>
      <c r="M118" s="587"/>
      <c r="N118" s="587"/>
      <c r="P118" s="244"/>
      <c r="Q118" s="244"/>
      <c r="R118" s="244"/>
      <c r="S118" s="244"/>
      <c r="T118" s="244"/>
      <c r="U118" s="244"/>
      <c r="V118" s="244"/>
    </row>
    <row r="119" spans="1:24" ht="15" customHeight="1">
      <c r="A119" s="604"/>
      <c r="B119" s="604"/>
      <c r="C119" s="585" t="s">
        <v>181</v>
      </c>
      <c r="D119" s="585"/>
      <c r="E119" s="49"/>
      <c r="F119" s="152"/>
      <c r="G119" s="153"/>
      <c r="H119" s="153"/>
      <c r="I119" s="153"/>
      <c r="J119" s="153"/>
      <c r="K119" s="153"/>
      <c r="L119" s="176"/>
      <c r="M119" s="587"/>
      <c r="N119" s="587"/>
      <c r="P119" s="244" t="b">
        <v>0</v>
      </c>
      <c r="Q119" s="244" t="b">
        <v>0</v>
      </c>
      <c r="R119" s="244" t="b">
        <v>0</v>
      </c>
      <c r="S119" s="244" t="b">
        <v>0</v>
      </c>
      <c r="T119" s="244" t="b">
        <v>0</v>
      </c>
      <c r="U119" s="244" t="b">
        <v>0</v>
      </c>
      <c r="V119" s="244"/>
      <c r="W119" s="3">
        <v>0</v>
      </c>
      <c r="X119" s="71">
        <f>+IF(AND(Q119=FALSE,R119=FALSE,S119=FALSE,T119=FALSE,U119=FALSE),0,IF(Q119=TRUE,1,IF(R119=TRUE,1,IF(S119=TRUE,1,IF(T119=TRUE,1,IF(U119=TRUE,1,0))))))</f>
        <v>0</v>
      </c>
    </row>
    <row r="120" spans="1:22" ht="15" customHeight="1">
      <c r="A120" s="604"/>
      <c r="B120" s="604"/>
      <c r="C120" s="585"/>
      <c r="D120" s="585"/>
      <c r="E120" s="48"/>
      <c r="F120" s="26"/>
      <c r="G120" s="28"/>
      <c r="H120" s="28"/>
      <c r="I120" s="28"/>
      <c r="J120" s="28"/>
      <c r="K120" s="28"/>
      <c r="L120" s="177"/>
      <c r="M120" s="587"/>
      <c r="N120" s="587"/>
      <c r="P120" s="244"/>
      <c r="Q120" s="244"/>
      <c r="R120" s="244"/>
      <c r="S120" s="244"/>
      <c r="T120" s="244"/>
      <c r="U120" s="244"/>
      <c r="V120" s="244"/>
    </row>
    <row r="121" spans="1:25" ht="15" customHeight="1">
      <c r="A121" s="604"/>
      <c r="B121" s="604"/>
      <c r="C121" s="585" t="s">
        <v>182</v>
      </c>
      <c r="D121" s="585"/>
      <c r="E121" s="49"/>
      <c r="F121" s="152"/>
      <c r="G121" s="153"/>
      <c r="H121" s="153"/>
      <c r="I121" s="153"/>
      <c r="J121" s="153"/>
      <c r="K121" s="153"/>
      <c r="L121" s="176"/>
      <c r="M121" s="587"/>
      <c r="N121" s="587"/>
      <c r="P121" s="244" t="b">
        <v>0</v>
      </c>
      <c r="Q121" s="244" t="b">
        <v>0</v>
      </c>
      <c r="R121" s="244" t="b">
        <v>0</v>
      </c>
      <c r="S121" s="244" t="b">
        <v>0</v>
      </c>
      <c r="T121" s="244" t="b">
        <v>0</v>
      </c>
      <c r="U121" s="244" t="b">
        <v>0</v>
      </c>
      <c r="V121" s="244" t="b">
        <v>0</v>
      </c>
      <c r="W121" s="3">
        <v>0</v>
      </c>
      <c r="X121" s="71">
        <f>+IF(AND(Q121=FALSE,R121=FALSE,S121=FALSE,T121=FALSE,U121=FALSE,V121=FALSE),0,IF(Q121=TRUE,1,IF(R121=TRUE,1,IF(S121=TRUE,1,IF(T121=TRUE,1,IF(U121=TRUE,1,IF(V121=TRUE,1,0)))))))</f>
        <v>0</v>
      </c>
      <c r="Y121" s="3">
        <f>IF(W99&gt;=10,IF(MAX(X117,X119,X121)=0,"",MAX(X117,X119,X121)),IF(MAX(W117,W119,W121)=0,"",MAX(W117,W119,W121)))</f>
      </c>
    </row>
    <row r="122" spans="1:22" ht="15" customHeight="1">
      <c r="A122" s="604"/>
      <c r="B122" s="604"/>
      <c r="C122" s="585"/>
      <c r="D122" s="585"/>
      <c r="E122" s="48"/>
      <c r="F122" s="26"/>
      <c r="G122" s="28"/>
      <c r="H122" s="28"/>
      <c r="I122" s="28"/>
      <c r="J122" s="28"/>
      <c r="K122" s="28"/>
      <c r="L122" s="177"/>
      <c r="M122" s="587"/>
      <c r="N122" s="587"/>
      <c r="P122" s="244"/>
      <c r="Q122" s="244"/>
      <c r="R122" s="244"/>
      <c r="S122" s="244"/>
      <c r="T122" s="244"/>
      <c r="U122" s="244"/>
      <c r="V122" s="244"/>
    </row>
    <row r="123" spans="1:25" ht="15" customHeight="1">
      <c r="A123" s="604"/>
      <c r="B123" s="604"/>
      <c r="C123" s="585" t="s">
        <v>186</v>
      </c>
      <c r="D123" s="585"/>
      <c r="E123" s="49"/>
      <c r="F123" s="152"/>
      <c r="G123" s="153"/>
      <c r="H123" s="153"/>
      <c r="I123" s="153"/>
      <c r="J123" s="153"/>
      <c r="K123" s="153"/>
      <c r="L123" s="176"/>
      <c r="M123" s="586">
        <f>IF(AND(P123=FALSE),Y123,1)</f>
      </c>
      <c r="N123" s="586">
        <f>+Y123</f>
      </c>
      <c r="P123" s="244" t="b">
        <v>0</v>
      </c>
      <c r="Q123" s="244" t="b">
        <v>0</v>
      </c>
      <c r="R123" s="244" t="b">
        <v>0</v>
      </c>
      <c r="S123" s="244" t="b">
        <v>0</v>
      </c>
      <c r="T123" s="244" t="b">
        <v>0</v>
      </c>
      <c r="U123" s="244" t="b">
        <v>0</v>
      </c>
      <c r="V123" s="244"/>
      <c r="W123" s="3">
        <v>0</v>
      </c>
      <c r="X123" s="71">
        <f>+IF(AND(Q123=FALSE,R123=FALSE,S123=FALSE,T123=FALSE,U123=FALSE),0,IF(Q123=TRUE,1,IF(R123=TRUE,1,IF(S123=TRUE,1,IF(T123=TRUE,1,IF(U123=TRUE,1,0))))))</f>
        <v>0</v>
      </c>
      <c r="Y123" s="3">
        <f>IF(W99&gt;=10,IF(X123=0,"",X123),IF(W123=0,"",W123))</f>
      </c>
    </row>
    <row r="124" spans="1:22" ht="15" customHeight="1">
      <c r="A124" s="604"/>
      <c r="B124" s="604"/>
      <c r="C124" s="585"/>
      <c r="D124" s="585"/>
      <c r="E124" s="48"/>
      <c r="F124" s="26"/>
      <c r="G124" s="28"/>
      <c r="H124" s="28"/>
      <c r="I124" s="28"/>
      <c r="J124" s="28"/>
      <c r="K124" s="28"/>
      <c r="L124" s="177"/>
      <c r="M124" s="587"/>
      <c r="N124" s="587"/>
      <c r="P124" s="244"/>
      <c r="Q124" s="244"/>
      <c r="R124" s="244"/>
      <c r="S124" s="244"/>
      <c r="T124" s="244"/>
      <c r="U124" s="244"/>
      <c r="V124" s="244"/>
    </row>
    <row r="125" spans="1:25" ht="15" customHeight="1">
      <c r="A125" s="604"/>
      <c r="B125" s="585" t="s">
        <v>189</v>
      </c>
      <c r="C125" s="585"/>
      <c r="D125" s="585"/>
      <c r="E125" s="173"/>
      <c r="F125" s="39"/>
      <c r="G125" s="46"/>
      <c r="H125" s="46"/>
      <c r="I125" s="46"/>
      <c r="J125" s="46"/>
      <c r="K125" s="46"/>
      <c r="L125" s="47"/>
      <c r="M125" s="21">
        <f>IF(AND(P125=FALSE),Y125,1)</f>
      </c>
      <c r="N125" s="21">
        <f>+Y125</f>
      </c>
      <c r="P125" s="244" t="b">
        <v>0</v>
      </c>
      <c r="Q125" s="244" t="b">
        <v>0</v>
      </c>
      <c r="R125" s="244" t="b">
        <v>0</v>
      </c>
      <c r="S125" s="244"/>
      <c r="T125" s="244"/>
      <c r="U125" s="244"/>
      <c r="V125" s="244"/>
      <c r="W125" s="3">
        <v>0</v>
      </c>
      <c r="X125" s="71">
        <f>+IF(AND(Q125=FALSE,R125=FALSE),0,IF(Q125=TRUE,1,IF(R125=TRUE,1,0)))</f>
        <v>0</v>
      </c>
      <c r="Y125" s="3">
        <f>IF(W99&gt;=10,IF(X125=0,"",X125),IF(W125=0,"",W125))</f>
      </c>
    </row>
    <row r="126" spans="1:25" ht="15" customHeight="1">
      <c r="A126" s="736" t="s">
        <v>196</v>
      </c>
      <c r="B126" s="172" t="s">
        <v>191</v>
      </c>
      <c r="C126" s="586" t="s">
        <v>192</v>
      </c>
      <c r="D126" s="586"/>
      <c r="E126" s="173"/>
      <c r="F126" s="39"/>
      <c r="G126" s="46"/>
      <c r="H126" s="46"/>
      <c r="I126" s="46"/>
      <c r="J126" s="46"/>
      <c r="K126" s="46"/>
      <c r="L126" s="47"/>
      <c r="M126" s="21">
        <f>IF(AND(P126=FALSE),Y126,2)</f>
      </c>
      <c r="N126" s="21">
        <f>+Y126</f>
      </c>
      <c r="P126" s="244" t="b">
        <v>0</v>
      </c>
      <c r="Q126" s="244" t="b">
        <v>0</v>
      </c>
      <c r="R126" s="244" t="b">
        <v>0</v>
      </c>
      <c r="S126" s="244" t="b">
        <v>0</v>
      </c>
      <c r="T126" s="244" t="b">
        <v>0</v>
      </c>
      <c r="U126" s="244"/>
      <c r="V126" s="244"/>
      <c r="W126" s="71">
        <f>+IF(AND(Q126=FALSE,R126=FALSE,S126=FALSE,T126=FALSE),0,IF(Q126=TRUE,2,IF(R126=TRUE,2,IF(S126=TRUE,2,IF(T126=TRUE,2,0)))))</f>
        <v>0</v>
      </c>
      <c r="X126" s="71">
        <f>+IF(AND(Q126=FALSE,R126=FALSE,S126=FALSE,T126=FALSE),0,IF(Q126=TRUE,2,IF(R126=TRUE,2,IF(S126=TRUE,2,IF(T126=TRUE,2,0)))))</f>
        <v>0</v>
      </c>
      <c r="Y126" s="3">
        <f>IF(W99&gt;=10,IF(X126=0,"",X126),IF(W126=0,"",W126))</f>
      </c>
    </row>
    <row r="127" spans="1:24" ht="15" customHeight="1">
      <c r="A127" s="736"/>
      <c r="B127" s="585" t="s">
        <v>195</v>
      </c>
      <c r="C127" s="586" t="s">
        <v>193</v>
      </c>
      <c r="D127" s="586"/>
      <c r="E127" s="173"/>
      <c r="F127" s="39"/>
      <c r="G127" s="46"/>
      <c r="H127" s="46"/>
      <c r="I127" s="46"/>
      <c r="J127" s="46"/>
      <c r="K127" s="46"/>
      <c r="L127" s="47"/>
      <c r="M127" s="586">
        <f>IF(AND(P127=FALSE,P128=FALSE),Y128,2)</f>
      </c>
      <c r="N127" s="586">
        <f>+Y128</f>
      </c>
      <c r="P127" s="244" t="b">
        <v>0</v>
      </c>
      <c r="Q127" s="244" t="b">
        <v>0</v>
      </c>
      <c r="R127" s="244" t="b">
        <v>0</v>
      </c>
      <c r="S127" s="244"/>
      <c r="T127" s="244"/>
      <c r="U127" s="244"/>
      <c r="V127" s="244"/>
      <c r="W127" s="71">
        <f>+IF(AND(Q127=FALSE,R127=FALSE),0,IF(Q127=TRUE,2,IF(R127=TRUE,2,0)))</f>
        <v>0</v>
      </c>
      <c r="X127" s="71">
        <f>+IF(AND(Q127=FALSE,R127=FALSE),0,IF(Q127=TRUE,2,IF(R127=TRUE,2,0)))</f>
        <v>0</v>
      </c>
    </row>
    <row r="128" spans="1:25" ht="15" customHeight="1">
      <c r="A128" s="736"/>
      <c r="B128" s="585"/>
      <c r="C128" s="585" t="s">
        <v>194</v>
      </c>
      <c r="D128" s="585"/>
      <c r="E128" s="49"/>
      <c r="F128" s="152"/>
      <c r="G128" s="153"/>
      <c r="H128" s="153"/>
      <c r="I128" s="153"/>
      <c r="J128" s="153"/>
      <c r="K128" s="153"/>
      <c r="L128" s="176"/>
      <c r="M128" s="587"/>
      <c r="N128" s="587"/>
      <c r="P128" s="244" t="b">
        <v>0</v>
      </c>
      <c r="Q128" s="244" t="b">
        <v>0</v>
      </c>
      <c r="R128" s="244" t="b">
        <v>0</v>
      </c>
      <c r="S128" s="244" t="b">
        <v>0</v>
      </c>
      <c r="T128" s="244" t="b">
        <v>0</v>
      </c>
      <c r="U128" s="244" t="b">
        <v>0</v>
      </c>
      <c r="V128" s="244" t="b">
        <v>0</v>
      </c>
      <c r="W128" s="71">
        <f>+IF(AND(Q128=FALSE,R128=FALSE,S128=FALSE,T128=FALSE,U128=FALSE,V128=FALSE),0,IF(Q128=TRUE,2,IF(R128=TRUE,2,IF(S128=TRUE,2,IF(T128=TRUE,2,IF(U128=TRUE,2,IF(V128=TRUE,2,0)))))))</f>
        <v>0</v>
      </c>
      <c r="X128" s="71">
        <f>+IF(AND(Q128=FALSE,R128=FALSE,S128=FALSE,T128=FALSE,U128=FALSE,V128=FALSE),0,IF(Q128=TRUE,2,IF(R128=TRUE,2,IF(S128=TRUE,2,IF(T128=TRUE,2,IF(U128=TRUE,2,IF(V128=TRUE,2,0)))))))</f>
        <v>0</v>
      </c>
      <c r="Y128" s="3">
        <f>IF(W99&gt;=10,IF(MAX(X127,X128)=0,"",MAX(X127,X128)),IF(MAX(W127:W128)=0,"",MAX(W127,W128)))</f>
      </c>
    </row>
    <row r="129" spans="1:22" ht="15" customHeight="1">
      <c r="A129" s="736"/>
      <c r="B129" s="585"/>
      <c r="C129" s="585"/>
      <c r="D129" s="585"/>
      <c r="E129" s="48"/>
      <c r="F129" s="26"/>
      <c r="G129" s="28"/>
      <c r="H129" s="28"/>
      <c r="I129" s="28"/>
      <c r="J129" s="28"/>
      <c r="K129" s="28"/>
      <c r="L129" s="177"/>
      <c r="M129" s="587"/>
      <c r="N129" s="587"/>
      <c r="P129" s="244"/>
      <c r="Q129" s="244"/>
      <c r="R129" s="244"/>
      <c r="S129" s="244"/>
      <c r="T129" s="244"/>
      <c r="U129" s="244"/>
      <c r="V129" s="244"/>
    </row>
    <row r="130" spans="1:25" ht="15" customHeight="1">
      <c r="A130" s="736" t="s">
        <v>200</v>
      </c>
      <c r="B130" s="737" t="s">
        <v>197</v>
      </c>
      <c r="C130" s="586" t="s">
        <v>191</v>
      </c>
      <c r="D130" s="586"/>
      <c r="E130" s="173"/>
      <c r="F130" s="39"/>
      <c r="G130" s="46"/>
      <c r="H130" s="46"/>
      <c r="I130" s="46"/>
      <c r="J130" s="46"/>
      <c r="K130" s="46"/>
      <c r="L130" s="47"/>
      <c r="M130" s="21">
        <f>IF(AND(P130=FALSE),Y130,2)</f>
      </c>
      <c r="N130" s="21">
        <f>+Y130</f>
      </c>
      <c r="P130" s="244" t="b">
        <v>0</v>
      </c>
      <c r="Q130" s="244" t="b">
        <v>0</v>
      </c>
      <c r="R130" s="244" t="b">
        <v>0</v>
      </c>
      <c r="S130" s="244" t="b">
        <v>0</v>
      </c>
      <c r="T130" s="244"/>
      <c r="U130" s="244"/>
      <c r="V130" s="244"/>
      <c r="W130" s="71">
        <f>+IF(AND(Q130=FALSE,R130=FALSE,S130=FALSE),0,IF(Q130=TRUE,2,IF(R130=TRUE,2,IF(S130=TRUE,2,0))))</f>
        <v>0</v>
      </c>
      <c r="X130" s="71">
        <f>+IF(AND(Q130=FALSE,R130=FALSE,S130=FALSE),0,IF(Q130=TRUE,2,IF(R130=TRUE,2,IF(S130=TRUE,2,0))))</f>
        <v>0</v>
      </c>
      <c r="Y130" s="3">
        <f>IF(W99&gt;=10,IF(X130=0,"",X130),IF(W130=0,"",W130))</f>
      </c>
    </row>
    <row r="131" spans="1:25" ht="15" customHeight="1">
      <c r="A131" s="736"/>
      <c r="B131" s="738"/>
      <c r="C131" s="586" t="s">
        <v>198</v>
      </c>
      <c r="D131" s="586"/>
      <c r="E131" s="173"/>
      <c r="F131" s="39"/>
      <c r="G131" s="46"/>
      <c r="H131" s="46"/>
      <c r="I131" s="46"/>
      <c r="J131" s="46"/>
      <c r="K131" s="46"/>
      <c r="L131" s="47"/>
      <c r="M131" s="21">
        <f>IF(AND(P131=FALSE),Y131,1)</f>
      </c>
      <c r="N131" s="21">
        <f>+Y131</f>
      </c>
      <c r="P131" s="244" t="b">
        <v>0</v>
      </c>
      <c r="Q131" s="244" t="b">
        <v>0</v>
      </c>
      <c r="R131" s="244" t="b">
        <v>0</v>
      </c>
      <c r="S131" s="244" t="b">
        <v>0</v>
      </c>
      <c r="T131" s="244"/>
      <c r="U131" s="244"/>
      <c r="V131" s="244"/>
      <c r="W131" s="3">
        <v>0</v>
      </c>
      <c r="X131" s="71">
        <f>+IF(AND(Q131=FALSE,R131=FALSE,S131=FALSE),0,IF(Q131=TRUE,1,IF(R131=TRUE,1,IF(S131=TRUE,1,0))))</f>
        <v>0</v>
      </c>
      <c r="Y131" s="3">
        <f>IF(W99&gt;=10,IF(X131=0,"",X131),IF(W131=0,"",W131))</f>
      </c>
    </row>
    <row r="132" spans="1:25" ht="15" customHeight="1">
      <c r="A132" s="736"/>
      <c r="B132" s="171" t="s">
        <v>199</v>
      </c>
      <c r="C132" s="735"/>
      <c r="D132" s="735"/>
      <c r="E132" s="173"/>
      <c r="F132" s="39"/>
      <c r="G132" s="46"/>
      <c r="H132" s="46"/>
      <c r="I132" s="46"/>
      <c r="J132" s="46"/>
      <c r="K132" s="46"/>
      <c r="L132" s="47"/>
      <c r="M132" s="21">
        <f>IF(AND(P132=FALSE),Y132,2)</f>
      </c>
      <c r="N132" s="21">
        <f>+Y132</f>
      </c>
      <c r="P132" s="244" t="b">
        <v>0</v>
      </c>
      <c r="Q132" s="244" t="b">
        <v>0</v>
      </c>
      <c r="R132" s="244" t="b">
        <v>0</v>
      </c>
      <c r="S132" s="244" t="b">
        <v>0</v>
      </c>
      <c r="T132" s="244" t="b">
        <v>0</v>
      </c>
      <c r="U132" s="244"/>
      <c r="V132" s="244"/>
      <c r="W132" s="71">
        <f>+IF(AND(Q132=FALSE,R132=FALSE,S132=FALSE,T132=FALSE),0,IF(Q132=TRUE,2,IF(R132=TRUE,2,IF(S132=TRUE,2,IF(T132=TRUE,2,0)))))</f>
        <v>0</v>
      </c>
      <c r="X132" s="71">
        <f>+IF(AND(Q132=FALSE,R132=FALSE,S132=FALSE,T132=FALSE),0,IF(Q132=TRUE,2,IF(R132=TRUE,2,IF(S132=TRUE,2,IF(T132=TRUE,2,0)))))</f>
        <v>0</v>
      </c>
      <c r="Y132" s="3">
        <f>IF(W99&gt;=10,IF(X132=0,"",X132),IF(W132=0,"",W132))</f>
      </c>
    </row>
    <row r="133" spans="5:14" ht="15" customHeight="1">
      <c r="E133" s="29"/>
      <c r="F133" s="9"/>
      <c r="G133" s="9"/>
      <c r="H133" s="9"/>
      <c r="I133" s="9"/>
      <c r="J133" s="9"/>
      <c r="K133" s="722" t="s">
        <v>201</v>
      </c>
      <c r="L133" s="722"/>
      <c r="M133" s="76">
        <f>+IF(SUM(M102:M132)=0,"",SUM(M102:M132))</f>
      </c>
      <c r="N133" s="76">
        <f>+IF(SUM(N102:N132)=0,"",SUM(N102:N132))</f>
      </c>
    </row>
    <row r="134" spans="3:24" ht="15" customHeight="1">
      <c r="C134" s="720" t="s">
        <v>526</v>
      </c>
      <c r="D134" s="721"/>
      <c r="E134" s="721"/>
      <c r="F134" s="721"/>
      <c r="G134" s="721"/>
      <c r="H134" s="721"/>
      <c r="I134" s="721"/>
      <c r="J134" s="721"/>
      <c r="K134" s="721"/>
      <c r="L134" s="721"/>
      <c r="M134" s="579">
        <f>IF(M133="","",MAX(0.7,U134))</f>
      </c>
      <c r="N134" s="580"/>
      <c r="P134" s="182" t="s">
        <v>510</v>
      </c>
      <c r="Q134" s="181"/>
      <c r="R134" s="181"/>
      <c r="S134" s="181"/>
      <c r="T134" s="181"/>
      <c r="U134" s="602">
        <f>IF(N133="",1,1-(N133/M133))</f>
        <v>1</v>
      </c>
      <c r="V134" s="603"/>
      <c r="W134" s="370"/>
      <c r="X134" s="371" t="s">
        <v>724</v>
      </c>
    </row>
    <row r="135" spans="22:25" ht="15" customHeight="1">
      <c r="V135" s="181"/>
      <c r="W135" s="181"/>
      <c r="X135" s="181"/>
      <c r="Y135" s="181"/>
    </row>
    <row r="136" spans="1:14" ht="15" customHeight="1">
      <c r="A136" s="31" t="s">
        <v>18</v>
      </c>
      <c r="B136" s="32"/>
      <c r="C136" s="32"/>
      <c r="D136" s="31" t="s">
        <v>19</v>
      </c>
      <c r="E136" s="32"/>
      <c r="F136" s="32"/>
      <c r="G136" s="33"/>
      <c r="H136" s="32" t="s">
        <v>20</v>
      </c>
      <c r="I136" s="32"/>
      <c r="J136" s="32"/>
      <c r="K136" s="32"/>
      <c r="L136" s="32"/>
      <c r="M136" s="32"/>
      <c r="N136" s="33"/>
    </row>
    <row r="137" spans="1:17" ht="15" customHeight="1">
      <c r="A137" s="723" t="s">
        <v>75</v>
      </c>
      <c r="B137" s="548"/>
      <c r="C137" s="549"/>
      <c r="D137" s="724" t="s">
        <v>21</v>
      </c>
      <c r="E137" s="725"/>
      <c r="F137" s="725"/>
      <c r="G137" s="726"/>
      <c r="H137" s="98"/>
      <c r="I137" s="200" t="s">
        <v>23</v>
      </c>
      <c r="J137" s="74"/>
      <c r="K137" s="40"/>
      <c r="L137" s="200" t="s">
        <v>30</v>
      </c>
      <c r="M137" s="74"/>
      <c r="N137" s="99"/>
      <c r="P137" s="244" t="b">
        <v>0</v>
      </c>
      <c r="Q137" s="244" t="b">
        <v>0</v>
      </c>
    </row>
    <row r="138" spans="1:17" ht="15" customHeight="1">
      <c r="A138" s="550"/>
      <c r="B138" s="551"/>
      <c r="C138" s="552"/>
      <c r="D138" s="727"/>
      <c r="E138" s="728"/>
      <c r="F138" s="728"/>
      <c r="G138" s="729"/>
      <c r="H138" s="65"/>
      <c r="I138" s="183" t="s">
        <v>24</v>
      </c>
      <c r="J138" s="75"/>
      <c r="K138" s="41"/>
      <c r="L138" s="183" t="s">
        <v>25</v>
      </c>
      <c r="M138" s="75"/>
      <c r="N138" s="100"/>
      <c r="P138" s="244" t="b">
        <v>0</v>
      </c>
      <c r="Q138" s="244" t="b">
        <v>0</v>
      </c>
    </row>
    <row r="139" spans="1:17" ht="15" customHeight="1">
      <c r="A139" s="550"/>
      <c r="B139" s="551"/>
      <c r="C139" s="552"/>
      <c r="D139" s="727"/>
      <c r="E139" s="728"/>
      <c r="F139" s="728"/>
      <c r="G139" s="729"/>
      <c r="H139" s="65"/>
      <c r="I139" s="183" t="s">
        <v>26</v>
      </c>
      <c r="J139" s="75"/>
      <c r="K139" s="41"/>
      <c r="L139" s="183" t="s">
        <v>27</v>
      </c>
      <c r="M139" s="75"/>
      <c r="N139" s="100"/>
      <c r="P139" s="244" t="b">
        <v>0</v>
      </c>
      <c r="Q139" s="244" t="b">
        <v>0</v>
      </c>
    </row>
    <row r="140" spans="1:17" ht="15" customHeight="1">
      <c r="A140" s="550"/>
      <c r="B140" s="551"/>
      <c r="C140" s="552"/>
      <c r="D140" s="727"/>
      <c r="E140" s="728"/>
      <c r="F140" s="728"/>
      <c r="G140" s="729"/>
      <c r="H140" s="65"/>
      <c r="I140" s="183" t="s">
        <v>28</v>
      </c>
      <c r="J140" s="75"/>
      <c r="K140" s="41"/>
      <c r="L140" s="183" t="s">
        <v>29</v>
      </c>
      <c r="M140" s="75"/>
      <c r="N140" s="100"/>
      <c r="P140" s="244" t="b">
        <v>0</v>
      </c>
      <c r="Q140" s="244" t="b">
        <v>0</v>
      </c>
    </row>
    <row r="141" spans="1:17" ht="15" customHeight="1">
      <c r="A141" s="550"/>
      <c r="B141" s="551"/>
      <c r="C141" s="552"/>
      <c r="D141" s="727"/>
      <c r="E141" s="728"/>
      <c r="F141" s="728"/>
      <c r="G141" s="729"/>
      <c r="H141" s="65"/>
      <c r="I141" s="214" t="s">
        <v>31</v>
      </c>
      <c r="J141" s="75"/>
      <c r="K141" s="41"/>
      <c r="L141" s="214" t="s">
        <v>32</v>
      </c>
      <c r="M141" s="75"/>
      <c r="N141" s="100"/>
      <c r="P141" s="244" t="b">
        <v>0</v>
      </c>
      <c r="Q141" s="244" t="b">
        <v>0</v>
      </c>
    </row>
    <row r="142" spans="1:16" ht="15" customHeight="1">
      <c r="A142" s="550"/>
      <c r="B142" s="551"/>
      <c r="C142" s="552"/>
      <c r="D142" s="724" t="s">
        <v>71</v>
      </c>
      <c r="E142" s="725"/>
      <c r="F142" s="725"/>
      <c r="G142" s="726"/>
      <c r="H142" s="237"/>
      <c r="I142" s="238" t="s">
        <v>72</v>
      </c>
      <c r="J142" s="239"/>
      <c r="K142" s="239"/>
      <c r="L142" s="239"/>
      <c r="M142" s="239"/>
      <c r="N142" s="99"/>
      <c r="P142" s="117"/>
    </row>
    <row r="143" spans="1:14" ht="15" customHeight="1">
      <c r="A143" s="550"/>
      <c r="B143" s="551"/>
      <c r="C143" s="552"/>
      <c r="D143" s="727"/>
      <c r="E143" s="728"/>
      <c r="F143" s="728"/>
      <c r="G143" s="729"/>
      <c r="H143" s="240"/>
      <c r="I143" s="777" t="s">
        <v>73</v>
      </c>
      <c r="J143" s="662"/>
      <c r="K143" s="662"/>
      <c r="L143" s="662"/>
      <c r="M143" s="662"/>
      <c r="N143" s="663"/>
    </row>
    <row r="144" spans="1:14" ht="15" customHeight="1">
      <c r="A144" s="553"/>
      <c r="B144" s="554"/>
      <c r="C144" s="555"/>
      <c r="D144" s="732"/>
      <c r="E144" s="733"/>
      <c r="F144" s="733"/>
      <c r="G144" s="734"/>
      <c r="H144" s="241"/>
      <c r="I144" s="769" t="s">
        <v>74</v>
      </c>
      <c r="J144" s="492"/>
      <c r="K144" s="492"/>
      <c r="L144" s="492"/>
      <c r="M144" s="492"/>
      <c r="N144" s="493"/>
    </row>
    <row r="145" spans="1:14" ht="15" customHeight="1">
      <c r="A145" s="206"/>
      <c r="B145" s="206"/>
      <c r="C145" s="206"/>
      <c r="D145" s="219"/>
      <c r="E145" s="219"/>
      <c r="F145" s="219"/>
      <c r="G145" s="219"/>
      <c r="H145" s="91"/>
      <c r="I145" s="29"/>
      <c r="J145" s="29"/>
      <c r="K145" s="29"/>
      <c r="L145" s="29"/>
      <c r="M145" s="29"/>
      <c r="N145" s="91"/>
    </row>
    <row r="146" spans="1:14" ht="12" customHeight="1">
      <c r="A146" s="206"/>
      <c r="B146" s="206"/>
      <c r="C146" s="206"/>
      <c r="D146" s="219"/>
      <c r="E146" s="219"/>
      <c r="F146" s="219"/>
      <c r="G146" s="219"/>
      <c r="H146" s="91"/>
      <c r="I146" s="29"/>
      <c r="J146" s="29"/>
      <c r="K146" s="29"/>
      <c r="L146" s="29"/>
      <c r="M146" s="29"/>
      <c r="N146" s="91"/>
    </row>
    <row r="147" spans="7:16" ht="15" customHeight="1">
      <c r="G147" s="444" t="s">
        <v>121</v>
      </c>
      <c r="H147" s="445"/>
      <c r="P147" s="3" t="s">
        <v>708</v>
      </c>
    </row>
    <row r="148" ht="15" customHeight="1">
      <c r="Q148" s="72" t="s">
        <v>709</v>
      </c>
    </row>
  </sheetData>
  <sheetProtection sheet="1" objects="1" scenarios="1" formatCells="0" formatColumns="0" formatRows="0"/>
  <mergeCells count="196">
    <mergeCell ref="A77:B80"/>
    <mergeCell ref="I143:N143"/>
    <mergeCell ref="L82:N82"/>
    <mergeCell ref="D81:G81"/>
    <mergeCell ref="G97:H97"/>
    <mergeCell ref="C114:D114"/>
    <mergeCell ref="E100:E101"/>
    <mergeCell ref="N127:N129"/>
    <mergeCell ref="D83:G83"/>
    <mergeCell ref="G89:N89"/>
    <mergeCell ref="H40:I41"/>
    <mergeCell ref="L56:N56"/>
    <mergeCell ref="G37:H37"/>
    <mergeCell ref="G48:H48"/>
    <mergeCell ref="D55:H55"/>
    <mergeCell ref="H31:N31"/>
    <mergeCell ref="J50:N50"/>
    <mergeCell ref="D56:H56"/>
    <mergeCell ref="I34:N34"/>
    <mergeCell ref="L54:N54"/>
    <mergeCell ref="X100:X101"/>
    <mergeCell ref="I144:N144"/>
    <mergeCell ref="A28:C28"/>
    <mergeCell ref="A29:C29"/>
    <mergeCell ref="A30:C30"/>
    <mergeCell ref="B90:F90"/>
    <mergeCell ref="B91:F91"/>
    <mergeCell ref="B92:F92"/>
    <mergeCell ref="B93:F93"/>
    <mergeCell ref="L81:N81"/>
    <mergeCell ref="N123:N124"/>
    <mergeCell ref="Y100:AA101"/>
    <mergeCell ref="C23:N24"/>
    <mergeCell ref="B94:F94"/>
    <mergeCell ref="H94:N94"/>
    <mergeCell ref="H90:N90"/>
    <mergeCell ref="H91:N91"/>
    <mergeCell ref="H92:N92"/>
    <mergeCell ref="H93:N93"/>
    <mergeCell ref="D77:N77"/>
    <mergeCell ref="D84:N84"/>
    <mergeCell ref="H82:J83"/>
    <mergeCell ref="A81:B83"/>
    <mergeCell ref="L83:N83"/>
    <mergeCell ref="N104:N105"/>
    <mergeCell ref="N106:N107"/>
    <mergeCell ref="D82:G82"/>
    <mergeCell ref="A84:B87"/>
    <mergeCell ref="A89:F89"/>
    <mergeCell ref="M106:M107"/>
    <mergeCell ref="A130:A132"/>
    <mergeCell ref="B130:B131"/>
    <mergeCell ref="A126:A129"/>
    <mergeCell ref="C117:D118"/>
    <mergeCell ref="C106:D107"/>
    <mergeCell ref="C104:D105"/>
    <mergeCell ref="B127:B129"/>
    <mergeCell ref="C123:D124"/>
    <mergeCell ref="C108:D109"/>
    <mergeCell ref="C110:D111"/>
    <mergeCell ref="C112:D113"/>
    <mergeCell ref="D142:G144"/>
    <mergeCell ref="A115:D116"/>
    <mergeCell ref="M127:M129"/>
    <mergeCell ref="G147:H147"/>
    <mergeCell ref="C130:D130"/>
    <mergeCell ref="C127:D127"/>
    <mergeCell ref="C128:D129"/>
    <mergeCell ref="C131:D131"/>
    <mergeCell ref="C132:D132"/>
    <mergeCell ref="C134:L134"/>
    <mergeCell ref="K133:L133"/>
    <mergeCell ref="A137:C144"/>
    <mergeCell ref="D137:G141"/>
    <mergeCell ref="T34:U34"/>
    <mergeCell ref="T35:U35"/>
    <mergeCell ref="T36:U36"/>
    <mergeCell ref="T37:U37"/>
    <mergeCell ref="C103:D103"/>
    <mergeCell ref="C102:D102"/>
    <mergeCell ref="M102:M103"/>
    <mergeCell ref="N102:N103"/>
    <mergeCell ref="L57:N57"/>
    <mergeCell ref="D78:N78"/>
    <mergeCell ref="W100:W101"/>
    <mergeCell ref="F100:L101"/>
    <mergeCell ref="D85:N85"/>
    <mergeCell ref="D86:N86"/>
    <mergeCell ref="D87:N87"/>
    <mergeCell ref="C100:D101"/>
    <mergeCell ref="M100:M101"/>
    <mergeCell ref="N100:N101"/>
    <mergeCell ref="J15:J18"/>
    <mergeCell ref="I37:N37"/>
    <mergeCell ref="G27:N27"/>
    <mergeCell ref="H28:N28"/>
    <mergeCell ref="I33:N33"/>
    <mergeCell ref="D57:H57"/>
    <mergeCell ref="I54:J58"/>
    <mergeCell ref="L19:N19"/>
    <mergeCell ref="L20:N20"/>
    <mergeCell ref="I35:N35"/>
    <mergeCell ref="H29:N29"/>
    <mergeCell ref="D14:I14"/>
    <mergeCell ref="F12:H12"/>
    <mergeCell ref="D15:I15"/>
    <mergeCell ref="D16:I16"/>
    <mergeCell ref="L11:N12"/>
    <mergeCell ref="L18:N18"/>
    <mergeCell ref="J11:J14"/>
    <mergeCell ref="L17:N17"/>
    <mergeCell ref="D19:I19"/>
    <mergeCell ref="J10:K10"/>
    <mergeCell ref="M5:N5"/>
    <mergeCell ref="J9:K9"/>
    <mergeCell ref="J8:N8"/>
    <mergeCell ref="M6:N6"/>
    <mergeCell ref="L9:M9"/>
    <mergeCell ref="C4:I4"/>
    <mergeCell ref="C6:I6"/>
    <mergeCell ref="M4:N4"/>
    <mergeCell ref="M1:N1"/>
    <mergeCell ref="C9:I9"/>
    <mergeCell ref="C5:I5"/>
    <mergeCell ref="C7:I7"/>
    <mergeCell ref="L7:N7"/>
    <mergeCell ref="J7:K7"/>
    <mergeCell ref="J2:N2"/>
    <mergeCell ref="D20:I20"/>
    <mergeCell ref="D18:I18"/>
    <mergeCell ref="L15:N15"/>
    <mergeCell ref="L16:N16"/>
    <mergeCell ref="L10:M10"/>
    <mergeCell ref="D29:E29"/>
    <mergeCell ref="D28:E28"/>
    <mergeCell ref="C10:I10"/>
    <mergeCell ref="L13:N13"/>
    <mergeCell ref="L14:N14"/>
    <mergeCell ref="D31:E31"/>
    <mergeCell ref="C12:D12"/>
    <mergeCell ref="D17:I17"/>
    <mergeCell ref="A27:E27"/>
    <mergeCell ref="D30:E30"/>
    <mergeCell ref="A12:B12"/>
    <mergeCell ref="A31:C31"/>
    <mergeCell ref="D21:I22"/>
    <mergeCell ref="H30:N30"/>
    <mergeCell ref="A23:B24"/>
    <mergeCell ref="D33:F33"/>
    <mergeCell ref="B33:C33"/>
    <mergeCell ref="B34:C34"/>
    <mergeCell ref="B38:C39"/>
    <mergeCell ref="G33:H33"/>
    <mergeCell ref="G34:H34"/>
    <mergeCell ref="B35:C35"/>
    <mergeCell ref="B36:C36"/>
    <mergeCell ref="I36:N36"/>
    <mergeCell ref="M98:N98"/>
    <mergeCell ref="A42:B44"/>
    <mergeCell ref="M49:N49"/>
    <mergeCell ref="A40:B41"/>
    <mergeCell ref="C79:N80"/>
    <mergeCell ref="A33:A39"/>
    <mergeCell ref="G35:H35"/>
    <mergeCell ref="A69:B75"/>
    <mergeCell ref="H81:J81"/>
    <mergeCell ref="R15:T16"/>
    <mergeCell ref="U134:V134"/>
    <mergeCell ref="B117:B124"/>
    <mergeCell ref="A117:A125"/>
    <mergeCell ref="B125:D125"/>
    <mergeCell ref="M117:M122"/>
    <mergeCell ref="B37:C37"/>
    <mergeCell ref="G36:H36"/>
    <mergeCell ref="N117:N122"/>
    <mergeCell ref="C126:D126"/>
    <mergeCell ref="N115:N116"/>
    <mergeCell ref="B95:F95"/>
    <mergeCell ref="A100:B101"/>
    <mergeCell ref="N108:N114"/>
    <mergeCell ref="A102:B103"/>
    <mergeCell ref="A104:B107"/>
    <mergeCell ref="A108:B114"/>
    <mergeCell ref="M115:M116"/>
    <mergeCell ref="M104:M105"/>
    <mergeCell ref="M108:M114"/>
    <mergeCell ref="M134:N134"/>
    <mergeCell ref="D40:G40"/>
    <mergeCell ref="D41:G41"/>
    <mergeCell ref="C121:D122"/>
    <mergeCell ref="C119:D120"/>
    <mergeCell ref="J99:N99"/>
    <mergeCell ref="M123:M124"/>
    <mergeCell ref="I51:J53"/>
    <mergeCell ref="L55:N55"/>
    <mergeCell ref="D54:H54"/>
  </mergeCells>
  <printOptions/>
  <pageMargins left="0.984251968503937" right="0.5905511811023623" top="0.5905511811023623" bottom="0.5905511811023623" header="0.31496062992125984" footer="0.1968503937007874"/>
  <pageSetup horizontalDpi="300" verticalDpi="300" orientation="portrait" paperSize="9" r:id="rId2"/>
  <rowBreaks count="2" manualBreakCount="2">
    <brk id="48" max="13" man="1"/>
    <brk id="97" max="13" man="1"/>
  </rowBreaks>
  <legacyDrawing r:id="rId1"/>
</worksheet>
</file>

<file path=xl/worksheets/sheet4.xml><?xml version="1.0" encoding="utf-8"?>
<worksheet xmlns="http://schemas.openxmlformats.org/spreadsheetml/2006/main" xmlns:r="http://schemas.openxmlformats.org/officeDocument/2006/relationships">
  <dimension ref="A1:AF165"/>
  <sheetViews>
    <sheetView zoomScalePageLayoutView="0" workbookViewId="0" topLeftCell="A1">
      <selection activeCell="B3" sqref="B3"/>
    </sheetView>
  </sheetViews>
  <sheetFormatPr defaultColWidth="5.77734375" defaultRowHeight="15" customHeight="1"/>
  <cols>
    <col min="1" max="1" width="5.77734375" style="3" customWidth="1"/>
    <col min="2" max="5" width="6.77734375" style="3" customWidth="1"/>
    <col min="6" max="7" width="6.10546875" style="3" customWidth="1"/>
    <col min="8" max="8" width="5.88671875" style="3" customWidth="1"/>
    <col min="9" max="12" width="6.77734375" style="3" customWidth="1"/>
    <col min="13" max="14" width="5.77734375" style="3" customWidth="1"/>
    <col min="15" max="15" width="7.5546875" style="3" bestFit="1" customWidth="1"/>
    <col min="16" max="16384" width="5.77734375" style="3" customWidth="1"/>
  </cols>
  <sheetData>
    <row r="1" spans="1:11" ht="15" customHeight="1">
      <c r="A1" s="92" t="s">
        <v>136</v>
      </c>
      <c r="I1" s="76" t="s">
        <v>313</v>
      </c>
      <c r="J1" s="820">
        <f>+'報告書'!K1</f>
        <v>45474</v>
      </c>
      <c r="K1" s="638"/>
    </row>
    <row r="2" spans="1:15" ht="15" customHeight="1">
      <c r="A2" s="3" t="s">
        <v>106</v>
      </c>
      <c r="E2" s="303"/>
      <c r="H2" s="472">
        <f>+IF('表紙'!I5=0,"",'表紙'!I5)</f>
      </c>
      <c r="I2" s="473"/>
      <c r="J2" s="473"/>
      <c r="K2" s="474"/>
      <c r="M2" s="82"/>
      <c r="O2" s="3" t="s">
        <v>101</v>
      </c>
    </row>
    <row r="3" spans="2:13" ht="15" customHeight="1">
      <c r="B3" s="410" t="s">
        <v>746</v>
      </c>
      <c r="C3" s="400"/>
      <c r="D3" s="400"/>
      <c r="E3" s="276"/>
      <c r="F3" s="400"/>
      <c r="G3" s="400"/>
      <c r="H3" s="82"/>
      <c r="I3" s="82"/>
      <c r="J3" s="82"/>
      <c r="K3" s="82"/>
      <c r="L3" s="82"/>
      <c r="M3" s="82"/>
    </row>
    <row r="4" spans="1:18" ht="15" customHeight="1">
      <c r="A4" s="813" t="s">
        <v>484</v>
      </c>
      <c r="B4" s="814"/>
      <c r="C4" s="814"/>
      <c r="D4" s="815"/>
      <c r="E4" s="402"/>
      <c r="F4" s="821" t="s">
        <v>485</v>
      </c>
      <c r="G4" s="821"/>
      <c r="H4" s="821"/>
      <c r="I4" s="821"/>
      <c r="J4" s="821"/>
      <c r="K4" s="821"/>
      <c r="M4" s="82"/>
      <c r="O4" s="71">
        <f>+チェックリスト!W18</f>
        <v>0</v>
      </c>
      <c r="P4" s="3" t="s">
        <v>306</v>
      </c>
      <c r="R4" s="71" t="s">
        <v>325</v>
      </c>
    </row>
    <row r="5" spans="1:13" ht="15" customHeight="1">
      <c r="A5" s="73"/>
      <c r="B5" s="847" t="s">
        <v>215</v>
      </c>
      <c r="C5" s="848"/>
      <c r="D5" s="849"/>
      <c r="F5" s="190"/>
      <c r="G5" s="822" t="s">
        <v>410</v>
      </c>
      <c r="H5" s="477"/>
      <c r="I5" s="477"/>
      <c r="J5" s="477"/>
      <c r="K5" s="478"/>
      <c r="M5" s="82"/>
    </row>
    <row r="6" spans="1:23" ht="15" customHeight="1">
      <c r="A6" s="115"/>
      <c r="B6" s="842" t="s">
        <v>216</v>
      </c>
      <c r="C6" s="843"/>
      <c r="D6" s="844"/>
      <c r="F6" s="191"/>
      <c r="G6" s="823" t="s">
        <v>732</v>
      </c>
      <c r="H6" s="824"/>
      <c r="I6" s="824"/>
      <c r="J6" s="824"/>
      <c r="K6" s="824"/>
      <c r="M6" s="82"/>
      <c r="O6" s="117"/>
      <c r="P6" s="880" t="s">
        <v>100</v>
      </c>
      <c r="Q6" s="880"/>
      <c r="R6" s="880"/>
      <c r="S6" s="880"/>
      <c r="T6" s="880"/>
      <c r="U6" s="880"/>
      <c r="V6" s="880"/>
      <c r="W6" s="880"/>
    </row>
    <row r="7" spans="1:23" ht="15" customHeight="1">
      <c r="A7" s="143"/>
      <c r="B7" s="839" t="s">
        <v>217</v>
      </c>
      <c r="C7" s="840"/>
      <c r="D7" s="841"/>
      <c r="F7" s="192"/>
      <c r="G7" s="491" t="s">
        <v>308</v>
      </c>
      <c r="H7" s="845"/>
      <c r="I7" s="845"/>
      <c r="J7" s="845"/>
      <c r="K7" s="846"/>
      <c r="M7" s="82"/>
      <c r="P7" s="880"/>
      <c r="Q7" s="880"/>
      <c r="R7" s="880"/>
      <c r="S7" s="880"/>
      <c r="T7" s="880"/>
      <c r="U7" s="880"/>
      <c r="V7" s="880"/>
      <c r="W7" s="880"/>
    </row>
    <row r="8" spans="1:19" ht="15" customHeight="1">
      <c r="A8" s="813" t="s">
        <v>486</v>
      </c>
      <c r="B8" s="814"/>
      <c r="C8" s="814"/>
      <c r="D8" s="815"/>
      <c r="F8" s="228"/>
      <c r="G8" s="822" t="s">
        <v>262</v>
      </c>
      <c r="H8" s="477"/>
      <c r="I8" s="477"/>
      <c r="J8" s="477"/>
      <c r="K8" s="478"/>
      <c r="M8" s="82"/>
      <c r="O8" s="161">
        <f>R8</f>
        <v>0</v>
      </c>
      <c r="P8" s="3" t="s">
        <v>140</v>
      </c>
      <c r="R8" s="161">
        <f>+チェックリスト!S78</f>
        <v>0</v>
      </c>
      <c r="S8" s="71" t="s">
        <v>467</v>
      </c>
    </row>
    <row r="9" spans="1:23" ht="15" customHeight="1">
      <c r="A9" s="16"/>
      <c r="B9" s="482" t="s">
        <v>511</v>
      </c>
      <c r="C9" s="582"/>
      <c r="D9" s="483"/>
      <c r="F9" s="256"/>
      <c r="G9" s="491" t="s">
        <v>474</v>
      </c>
      <c r="H9" s="845"/>
      <c r="I9" s="845"/>
      <c r="J9" s="845"/>
      <c r="K9" s="846"/>
      <c r="M9" s="82"/>
      <c r="P9" s="391" t="s">
        <v>468</v>
      </c>
      <c r="Q9" s="391"/>
      <c r="R9" s="391"/>
      <c r="S9" s="391"/>
      <c r="T9" s="391"/>
      <c r="U9" s="391"/>
      <c r="V9" s="391"/>
      <c r="W9" s="391"/>
    </row>
    <row r="10" spans="1:23" ht="15" customHeight="1">
      <c r="A10" s="13"/>
      <c r="B10" s="851" t="s">
        <v>477</v>
      </c>
      <c r="C10" s="686"/>
      <c r="D10" s="687"/>
      <c r="F10" s="251"/>
      <c r="G10" s="198"/>
      <c r="H10" s="198"/>
      <c r="I10" s="198"/>
      <c r="J10" s="198"/>
      <c r="K10" s="198"/>
      <c r="P10" s="3" t="s">
        <v>719</v>
      </c>
      <c r="Q10" s="391"/>
      <c r="R10" s="391"/>
      <c r="S10" s="391"/>
      <c r="T10" s="391"/>
      <c r="U10" s="391"/>
      <c r="V10" s="391"/>
      <c r="W10" s="391"/>
    </row>
    <row r="11" spans="1:23" ht="15" customHeight="1">
      <c r="A11" s="291"/>
      <c r="B11" s="494" t="s">
        <v>470</v>
      </c>
      <c r="C11" s="584"/>
      <c r="D11" s="495"/>
      <c r="F11" s="8"/>
      <c r="G11" s="818" t="s">
        <v>527</v>
      </c>
      <c r="H11" s="816" t="s">
        <v>629</v>
      </c>
      <c r="I11" s="816" t="s">
        <v>628</v>
      </c>
      <c r="J11" s="816" t="s">
        <v>623</v>
      </c>
      <c r="K11" s="825" t="s">
        <v>622</v>
      </c>
      <c r="P11" s="3" t="s">
        <v>716</v>
      </c>
      <c r="Q11" s="288"/>
      <c r="R11" s="288"/>
      <c r="S11" s="288"/>
      <c r="T11" s="288"/>
      <c r="U11" s="288"/>
      <c r="V11" s="288"/>
      <c r="W11" s="288"/>
    </row>
    <row r="12" spans="1:16" ht="15" customHeight="1">
      <c r="A12" s="813" t="s">
        <v>487</v>
      </c>
      <c r="B12" s="814"/>
      <c r="C12" s="814"/>
      <c r="D12" s="815"/>
      <c r="F12" s="14"/>
      <c r="G12" s="819"/>
      <c r="H12" s="817"/>
      <c r="I12" s="817"/>
      <c r="J12" s="817"/>
      <c r="K12" s="826"/>
      <c r="O12" s="60"/>
      <c r="P12" s="3" t="s">
        <v>710</v>
      </c>
    </row>
    <row r="13" spans="1:16" ht="15" customHeight="1">
      <c r="A13" s="16"/>
      <c r="B13" s="482" t="s">
        <v>245</v>
      </c>
      <c r="C13" s="582"/>
      <c r="D13" s="483"/>
      <c r="E13" s="95"/>
      <c r="F13" s="314" t="s">
        <v>528</v>
      </c>
      <c r="G13" s="315"/>
      <c r="H13" s="316"/>
      <c r="I13" s="317"/>
      <c r="J13" s="318">
        <f>+IF(H13="","",IF(I13=0,0,IF(H13/B42&lt;=1/8,0,H13*MIN(1,I13/2.1))))</f>
      </c>
      <c r="K13" s="319">
        <f>+IF(B42="","",IF(J13="",B42,B42+J13))</f>
      </c>
      <c r="O13" s="117"/>
      <c r="P13" s="71" t="s">
        <v>328</v>
      </c>
    </row>
    <row r="14" spans="1:11" ht="15" customHeight="1">
      <c r="A14" s="14"/>
      <c r="B14" s="494" t="s">
        <v>305</v>
      </c>
      <c r="C14" s="584"/>
      <c r="D14" s="495"/>
      <c r="F14" s="320" t="s">
        <v>529</v>
      </c>
      <c r="G14" s="321"/>
      <c r="H14" s="322"/>
      <c r="I14" s="323"/>
      <c r="J14" s="257">
        <f>+IF(B44=0,"",IF(H14="","",IF(I14=0,0,IF(H14/B44&lt;=1/8,0,H14*MIN(1,I14/2.1)))))</f>
      </c>
      <c r="K14" s="324">
        <f>+IF(B44="","",IF(J14="",B44,B44+J14))</f>
      </c>
    </row>
    <row r="15" spans="1:18" ht="15" customHeight="1">
      <c r="A15" s="679" t="s">
        <v>488</v>
      </c>
      <c r="B15" s="480"/>
      <c r="C15" s="481"/>
      <c r="D15" s="21" t="s">
        <v>329</v>
      </c>
      <c r="E15" s="91"/>
      <c r="F15" s="325" t="s">
        <v>530</v>
      </c>
      <c r="G15" s="326"/>
      <c r="H15" s="327"/>
      <c r="I15" s="328"/>
      <c r="J15" s="329">
        <f>+IF(B46=0,"",IF(H15="","",IF(I15=0,0,IF(H15/B46&lt;=1/8,0,H15*MIN(1,I15/2.1)))))</f>
      </c>
      <c r="K15" s="330">
        <f>+IF(B46="","",IF(J15="",B46,B46+J15))</f>
      </c>
      <c r="O15" s="179">
        <f>+チェックリスト!R14</f>
        <v>0</v>
      </c>
      <c r="P15" s="3" t="s">
        <v>261</v>
      </c>
      <c r="R15" s="71" t="s">
        <v>476</v>
      </c>
    </row>
    <row r="16" spans="1:18" ht="15" customHeight="1">
      <c r="A16" s="37"/>
      <c r="B16" s="688" t="s">
        <v>316</v>
      </c>
      <c r="C16" s="690"/>
      <c r="D16" s="155">
        <f>+IF(O13=0,"",IF(O13=1,1,0.9))</f>
      </c>
      <c r="E16" s="91"/>
      <c r="F16" s="484" t="s">
        <v>531</v>
      </c>
      <c r="G16" s="850"/>
      <c r="H16" s="850"/>
      <c r="I16" s="850"/>
      <c r="J16" s="850"/>
      <c r="K16" s="850"/>
      <c r="O16" s="71"/>
      <c r="R16" s="71"/>
    </row>
    <row r="17" spans="1:18" ht="15" customHeight="1">
      <c r="A17" s="38"/>
      <c r="B17" s="583" t="s">
        <v>317</v>
      </c>
      <c r="C17" s="495"/>
      <c r="D17" s="156"/>
      <c r="E17" s="91"/>
      <c r="F17" s="401"/>
      <c r="G17" s="400"/>
      <c r="H17" s="400"/>
      <c r="I17" s="400"/>
      <c r="J17" s="400"/>
      <c r="K17" s="400"/>
      <c r="O17" s="71"/>
      <c r="R17" s="71"/>
    </row>
    <row r="18" spans="1:16" ht="15" customHeight="1">
      <c r="A18" s="472" t="s">
        <v>489</v>
      </c>
      <c r="B18" s="480"/>
      <c r="C18" s="480"/>
      <c r="D18" s="480"/>
      <c r="E18" s="480"/>
      <c r="F18" s="480"/>
      <c r="G18" s="480"/>
      <c r="H18" s="480"/>
      <c r="I18" s="480"/>
      <c r="J18" s="480"/>
      <c r="K18" s="481"/>
      <c r="M18" s="82"/>
      <c r="P18" s="3" t="s">
        <v>717</v>
      </c>
    </row>
    <row r="19" spans="1:18" ht="15" customHeight="1">
      <c r="A19" s="37"/>
      <c r="B19" s="595" t="s">
        <v>247</v>
      </c>
      <c r="C19" s="596"/>
      <c r="D19" s="596"/>
      <c r="E19" s="596"/>
      <c r="F19" s="596"/>
      <c r="G19" s="596"/>
      <c r="H19" s="596"/>
      <c r="I19" s="596"/>
      <c r="J19" s="596"/>
      <c r="K19" s="768"/>
      <c r="M19" s="82"/>
      <c r="O19" s="179">
        <f>+チェックリスト!R17</f>
        <v>0</v>
      </c>
      <c r="P19" s="3" t="s">
        <v>469</v>
      </c>
      <c r="R19" s="71" t="s">
        <v>480</v>
      </c>
    </row>
    <row r="20" spans="1:13" ht="15" customHeight="1">
      <c r="A20" s="193"/>
      <c r="B20" s="664" t="s">
        <v>395</v>
      </c>
      <c r="C20" s="665"/>
      <c r="D20" s="665"/>
      <c r="E20" s="665"/>
      <c r="F20" s="665"/>
      <c r="G20" s="665"/>
      <c r="H20" s="665"/>
      <c r="I20" s="665"/>
      <c r="J20" s="665"/>
      <c r="K20" s="666"/>
      <c r="M20" s="82"/>
    </row>
    <row r="21" spans="1:16" ht="15" customHeight="1">
      <c r="A21" s="65"/>
      <c r="B21" s="661" t="s">
        <v>398</v>
      </c>
      <c r="C21" s="662"/>
      <c r="D21" s="662"/>
      <c r="E21" s="662"/>
      <c r="F21" s="662"/>
      <c r="G21" s="662"/>
      <c r="H21" s="662"/>
      <c r="I21" s="662"/>
      <c r="J21" s="662"/>
      <c r="K21" s="663"/>
      <c r="M21" s="82"/>
      <c r="O21" s="117"/>
      <c r="P21" s="3" t="s">
        <v>50</v>
      </c>
    </row>
    <row r="22" spans="1:13" ht="15" customHeight="1">
      <c r="A22" s="193"/>
      <c r="B22" s="661" t="s">
        <v>389</v>
      </c>
      <c r="C22" s="662"/>
      <c r="D22" s="662"/>
      <c r="E22" s="662"/>
      <c r="F22" s="662"/>
      <c r="G22" s="662"/>
      <c r="H22" s="662"/>
      <c r="I22" s="662"/>
      <c r="J22" s="662"/>
      <c r="K22" s="663"/>
      <c r="M22" s="82"/>
    </row>
    <row r="23" spans="1:13" ht="15" customHeight="1">
      <c r="A23" s="41"/>
      <c r="B23" s="661" t="s">
        <v>396</v>
      </c>
      <c r="C23" s="662"/>
      <c r="D23" s="662"/>
      <c r="E23" s="662"/>
      <c r="F23" s="662"/>
      <c r="G23" s="662"/>
      <c r="H23" s="662"/>
      <c r="I23" s="662"/>
      <c r="J23" s="662"/>
      <c r="K23" s="663"/>
      <c r="M23" s="82"/>
    </row>
    <row r="24" spans="1:13" ht="15" customHeight="1">
      <c r="A24" s="41"/>
      <c r="B24" s="661" t="s">
        <v>397</v>
      </c>
      <c r="C24" s="662"/>
      <c r="D24" s="662"/>
      <c r="E24" s="662"/>
      <c r="F24" s="662"/>
      <c r="G24" s="662"/>
      <c r="H24" s="662"/>
      <c r="I24" s="662"/>
      <c r="J24" s="662"/>
      <c r="K24" s="663"/>
      <c r="M24" s="82"/>
    </row>
    <row r="25" spans="1:13" ht="15" customHeight="1">
      <c r="A25" s="41"/>
      <c r="B25" s="661" t="s">
        <v>390</v>
      </c>
      <c r="C25" s="662"/>
      <c r="D25" s="662"/>
      <c r="E25" s="662"/>
      <c r="F25" s="662"/>
      <c r="G25" s="662"/>
      <c r="H25" s="662"/>
      <c r="I25" s="662"/>
      <c r="J25" s="662"/>
      <c r="K25" s="663"/>
      <c r="M25" s="82"/>
    </row>
    <row r="26" spans="1:13" ht="15" customHeight="1">
      <c r="A26" s="64"/>
      <c r="B26" s="664" t="s">
        <v>256</v>
      </c>
      <c r="C26" s="665"/>
      <c r="D26" s="665"/>
      <c r="E26" s="665"/>
      <c r="F26" s="665"/>
      <c r="G26" s="665"/>
      <c r="H26" s="665"/>
      <c r="I26" s="665"/>
      <c r="J26" s="665"/>
      <c r="K26" s="666"/>
      <c r="M26" s="82"/>
    </row>
    <row r="27" spans="1:13" ht="15" customHeight="1">
      <c r="A27" s="89"/>
      <c r="B27" s="831" t="s">
        <v>404</v>
      </c>
      <c r="C27" s="492"/>
      <c r="D27" s="492"/>
      <c r="E27" s="492"/>
      <c r="F27" s="492"/>
      <c r="G27" s="492"/>
      <c r="H27" s="492"/>
      <c r="I27" s="492"/>
      <c r="J27" s="492"/>
      <c r="K27" s="493"/>
      <c r="M27" s="82"/>
    </row>
    <row r="28" spans="1:11" ht="15" customHeight="1">
      <c r="A28" s="212" t="s">
        <v>490</v>
      </c>
      <c r="B28" s="5"/>
      <c r="C28" s="5"/>
      <c r="D28" s="883" t="s">
        <v>139</v>
      </c>
      <c r="E28" s="497"/>
      <c r="F28" s="497"/>
      <c r="G28" s="497"/>
      <c r="H28" s="497"/>
      <c r="I28" s="497"/>
      <c r="J28" s="497"/>
      <c r="K28" s="498"/>
    </row>
    <row r="29" spans="1:17" ht="15" customHeight="1">
      <c r="A29" s="802" t="s">
        <v>282</v>
      </c>
      <c r="B29" s="803"/>
      <c r="C29" s="39"/>
      <c r="D29" s="289" t="s">
        <v>287</v>
      </c>
      <c r="E29" s="252"/>
      <c r="F29" s="252"/>
      <c r="G29" s="252"/>
      <c r="H29" s="252"/>
      <c r="I29" s="252"/>
      <c r="J29" s="252"/>
      <c r="K29" s="287"/>
      <c r="L29" s="80"/>
      <c r="M29" s="80"/>
      <c r="N29" s="80"/>
      <c r="O29" s="117"/>
      <c r="Q29" s="3" t="s">
        <v>160</v>
      </c>
    </row>
    <row r="30" spans="1:16" ht="15" customHeight="1">
      <c r="A30" s="802" t="s">
        <v>414</v>
      </c>
      <c r="B30" s="803"/>
      <c r="C30" s="26"/>
      <c r="D30" s="207" t="s">
        <v>466</v>
      </c>
      <c r="E30" s="208"/>
      <c r="F30" s="208"/>
      <c r="G30" s="208"/>
      <c r="H30" s="208"/>
      <c r="I30" s="208"/>
      <c r="J30" s="208"/>
      <c r="K30" s="209"/>
      <c r="L30" s="80"/>
      <c r="M30" s="80"/>
      <c r="N30" s="80"/>
      <c r="P30" s="72"/>
    </row>
    <row r="31" spans="1:14" ht="15" customHeight="1">
      <c r="A31" s="588" t="s">
        <v>283</v>
      </c>
      <c r="B31" s="609"/>
      <c r="C31" s="40"/>
      <c r="D31" s="202" t="s">
        <v>286</v>
      </c>
      <c r="E31" s="204"/>
      <c r="F31" s="204"/>
      <c r="G31" s="204"/>
      <c r="H31" s="204"/>
      <c r="I31" s="204"/>
      <c r="J31" s="204"/>
      <c r="K31" s="205"/>
      <c r="L31" s="80"/>
      <c r="M31" s="80"/>
      <c r="N31" s="80"/>
    </row>
    <row r="32" spans="1:20" ht="15" customHeight="1">
      <c r="A32" s="610"/>
      <c r="B32" s="611"/>
      <c r="C32" s="64"/>
      <c r="D32" s="664" t="s">
        <v>446</v>
      </c>
      <c r="E32" s="665"/>
      <c r="F32" s="665"/>
      <c r="G32" s="665"/>
      <c r="H32" s="665"/>
      <c r="I32" s="665"/>
      <c r="J32" s="665"/>
      <c r="K32" s="666"/>
      <c r="L32" s="80"/>
      <c r="M32" s="80"/>
      <c r="N32" s="80"/>
      <c r="O32" s="872" t="s">
        <v>99</v>
      </c>
      <c r="P32" s="873"/>
      <c r="Q32" s="873"/>
      <c r="R32" s="873"/>
      <c r="S32" s="873"/>
      <c r="T32" s="873"/>
    </row>
    <row r="33" spans="1:20" ht="15" customHeight="1">
      <c r="A33" s="612"/>
      <c r="B33" s="613"/>
      <c r="C33" s="89"/>
      <c r="D33" s="210" t="s">
        <v>458</v>
      </c>
      <c r="E33" s="158"/>
      <c r="F33" s="158"/>
      <c r="G33" s="158"/>
      <c r="H33" s="158"/>
      <c r="I33" s="158"/>
      <c r="J33" s="158"/>
      <c r="K33" s="160"/>
      <c r="L33" s="80"/>
      <c r="M33" s="80"/>
      <c r="N33" s="80"/>
      <c r="O33" s="873"/>
      <c r="P33" s="873"/>
      <c r="Q33" s="873"/>
      <c r="R33" s="873"/>
      <c r="S33" s="873"/>
      <c r="T33" s="873"/>
    </row>
    <row r="34" spans="1:14" ht="15" customHeight="1">
      <c r="A34" s="588" t="s">
        <v>457</v>
      </c>
      <c r="B34" s="793"/>
      <c r="C34" s="44"/>
      <c r="D34" s="202" t="s">
        <v>285</v>
      </c>
      <c r="E34" s="204"/>
      <c r="F34" s="204"/>
      <c r="G34" s="204"/>
      <c r="H34" s="204"/>
      <c r="I34" s="204"/>
      <c r="J34" s="204"/>
      <c r="K34" s="205"/>
      <c r="L34" s="80"/>
      <c r="M34" s="80"/>
      <c r="N34" s="80"/>
    </row>
    <row r="35" spans="1:14" ht="15" customHeight="1">
      <c r="A35" s="610"/>
      <c r="B35" s="620"/>
      <c r="C35" s="45"/>
      <c r="D35" s="264" t="s">
        <v>284</v>
      </c>
      <c r="E35" s="262"/>
      <c r="F35" s="262"/>
      <c r="G35" s="262"/>
      <c r="H35" s="262"/>
      <c r="I35" s="262"/>
      <c r="J35" s="262"/>
      <c r="K35" s="263"/>
      <c r="L35" s="80"/>
      <c r="M35" s="80"/>
      <c r="N35" s="80"/>
    </row>
    <row r="36" spans="1:14" ht="15" customHeight="1">
      <c r="A36" s="612"/>
      <c r="B36" s="621"/>
      <c r="C36" s="294"/>
      <c r="D36" s="207" t="s">
        <v>301</v>
      </c>
      <c r="E36" s="208"/>
      <c r="F36" s="208"/>
      <c r="G36" s="208"/>
      <c r="H36" s="208"/>
      <c r="I36" s="208"/>
      <c r="J36" s="208"/>
      <c r="K36" s="209"/>
      <c r="L36" s="80"/>
      <c r="M36" s="80"/>
      <c r="N36" s="80"/>
    </row>
    <row r="37" spans="1:13" ht="15" customHeight="1">
      <c r="A37" s="3" t="s">
        <v>15</v>
      </c>
      <c r="C37" s="255"/>
      <c r="G37" s="166"/>
      <c r="I37" s="82"/>
      <c r="J37" s="82"/>
      <c r="K37" s="82"/>
      <c r="L37" s="82"/>
      <c r="M37" s="82"/>
    </row>
    <row r="38" spans="1:13" ht="15" customHeight="1">
      <c r="A38" s="3" t="s">
        <v>16</v>
      </c>
      <c r="F38" s="91"/>
      <c r="H38" s="82"/>
      <c r="I38" s="82"/>
      <c r="J38" s="82"/>
      <c r="K38" s="82"/>
      <c r="L38" s="82"/>
      <c r="M38" s="82"/>
    </row>
    <row r="39" spans="1:15" ht="15" customHeight="1">
      <c r="A39" s="295" t="s">
        <v>491</v>
      </c>
      <c r="B39" s="804" t="s">
        <v>312</v>
      </c>
      <c r="C39" s="187"/>
      <c r="D39" s="796" t="s">
        <v>400</v>
      </c>
      <c r="E39" s="808" t="s">
        <v>402</v>
      </c>
      <c r="F39" s="809"/>
      <c r="G39" s="796" t="s">
        <v>403</v>
      </c>
      <c r="H39" s="808" t="s">
        <v>411</v>
      </c>
      <c r="I39" s="809"/>
      <c r="J39" s="796" t="s">
        <v>311</v>
      </c>
      <c r="K39" s="253" t="s">
        <v>309</v>
      </c>
      <c r="L39" s="50"/>
      <c r="M39" s="82"/>
      <c r="O39" s="268"/>
    </row>
    <row r="40" spans="1:13" ht="15" customHeight="1">
      <c r="A40" s="296"/>
      <c r="B40" s="805"/>
      <c r="C40" s="188"/>
      <c r="D40" s="789"/>
      <c r="E40" s="810"/>
      <c r="F40" s="805"/>
      <c r="G40" s="878"/>
      <c r="H40" s="874"/>
      <c r="I40" s="805"/>
      <c r="J40" s="878"/>
      <c r="K40" s="806" t="s">
        <v>412</v>
      </c>
      <c r="L40" s="50"/>
      <c r="M40" s="82"/>
    </row>
    <row r="41" spans="1:15" ht="15" customHeight="1">
      <c r="A41" s="297" t="s">
        <v>357</v>
      </c>
      <c r="B41" s="805"/>
      <c r="C41" s="189" t="s">
        <v>107</v>
      </c>
      <c r="D41" s="189" t="s">
        <v>401</v>
      </c>
      <c r="E41" s="811"/>
      <c r="F41" s="812"/>
      <c r="G41" s="879"/>
      <c r="H41" s="875"/>
      <c r="I41" s="812"/>
      <c r="J41" s="879"/>
      <c r="K41" s="807"/>
      <c r="L41" s="50"/>
      <c r="M41" s="82"/>
      <c r="O41" s="72" t="s">
        <v>322</v>
      </c>
    </row>
    <row r="42" spans="1:15" ht="15" customHeight="1">
      <c r="A42" s="794">
        <v>3</v>
      </c>
      <c r="B42" s="797"/>
      <c r="C42" s="170" t="s">
        <v>314</v>
      </c>
      <c r="D42" s="248"/>
      <c r="E42" s="884"/>
      <c r="F42" s="885"/>
      <c r="G42" s="272">
        <f>IF(D42="","",G47)</f>
      </c>
      <c r="H42" s="876">
        <f aca="true" t="shared" si="0" ref="H42:H47">+J160</f>
      </c>
      <c r="I42" s="877"/>
      <c r="J42" s="835">
        <f>+K154</f>
      </c>
      <c r="K42" s="358">
        <f aca="true" t="shared" si="1" ref="K42:K47">+K160</f>
      </c>
      <c r="L42" s="167"/>
      <c r="M42" s="82"/>
      <c r="O42" s="186" t="s">
        <v>738</v>
      </c>
    </row>
    <row r="43" spans="1:15" ht="15" customHeight="1">
      <c r="A43" s="795"/>
      <c r="B43" s="798"/>
      <c r="C43" s="161" t="s">
        <v>315</v>
      </c>
      <c r="D43" s="247"/>
      <c r="E43" s="829"/>
      <c r="F43" s="830"/>
      <c r="G43" s="273">
        <f>IF(D43="","",G47)</f>
      </c>
      <c r="H43" s="791">
        <f t="shared" si="0"/>
      </c>
      <c r="I43" s="792"/>
      <c r="J43" s="836"/>
      <c r="K43" s="358">
        <f t="shared" si="1"/>
      </c>
      <c r="L43" s="167"/>
      <c r="M43" s="82"/>
      <c r="O43" s="3" t="s">
        <v>382</v>
      </c>
    </row>
    <row r="44" spans="1:15" ht="15" customHeight="1">
      <c r="A44" s="852">
        <v>2</v>
      </c>
      <c r="B44" s="855"/>
      <c r="C44" s="161" t="s">
        <v>314</v>
      </c>
      <c r="D44" s="247"/>
      <c r="E44" s="829"/>
      <c r="F44" s="830"/>
      <c r="G44" s="273">
        <f>IF(D44="","",G47)</f>
      </c>
      <c r="H44" s="791">
        <f t="shared" si="0"/>
      </c>
      <c r="I44" s="792"/>
      <c r="J44" s="837">
        <f>+K155</f>
      </c>
      <c r="K44" s="358">
        <f t="shared" si="1"/>
      </c>
      <c r="L44" s="167"/>
      <c r="M44" s="82"/>
      <c r="O44" s="251"/>
    </row>
    <row r="45" spans="1:15" ht="15" customHeight="1">
      <c r="A45" s="854"/>
      <c r="B45" s="798"/>
      <c r="C45" s="161" t="s">
        <v>315</v>
      </c>
      <c r="D45" s="247"/>
      <c r="E45" s="829"/>
      <c r="F45" s="830"/>
      <c r="G45" s="273">
        <f>IF(D45="","",G47)</f>
      </c>
      <c r="H45" s="791">
        <f t="shared" si="0"/>
      </c>
      <c r="I45" s="792"/>
      <c r="J45" s="838"/>
      <c r="K45" s="358">
        <f t="shared" si="1"/>
      </c>
      <c r="L45" s="167"/>
      <c r="M45" s="82"/>
      <c r="O45" s="251"/>
    </row>
    <row r="46" spans="1:15" ht="15" customHeight="1">
      <c r="A46" s="852">
        <v>1</v>
      </c>
      <c r="B46" s="855"/>
      <c r="C46" s="161" t="s">
        <v>314</v>
      </c>
      <c r="D46" s="247"/>
      <c r="E46" s="829"/>
      <c r="F46" s="830"/>
      <c r="G46" s="273">
        <f>IF(G47="","",G47)</f>
      </c>
      <c r="H46" s="791">
        <f t="shared" si="0"/>
      </c>
      <c r="I46" s="792"/>
      <c r="J46" s="837">
        <f>+K156</f>
      </c>
      <c r="K46" s="358">
        <f t="shared" si="1"/>
      </c>
      <c r="L46" s="167"/>
      <c r="M46" s="82"/>
      <c r="O46" s="301"/>
    </row>
    <row r="47" spans="1:18" ht="15" customHeight="1">
      <c r="A47" s="853"/>
      <c r="B47" s="856"/>
      <c r="C47" s="163" t="s">
        <v>315</v>
      </c>
      <c r="D47" s="199"/>
      <c r="E47" s="834"/>
      <c r="F47" s="426"/>
      <c r="G47" s="274">
        <f>+O47</f>
      </c>
      <c r="H47" s="861">
        <f t="shared" si="0"/>
      </c>
      <c r="I47" s="862"/>
      <c r="J47" s="882"/>
      <c r="K47" s="358">
        <f t="shared" si="1"/>
      </c>
      <c r="L47" s="167"/>
      <c r="M47" s="50"/>
      <c r="O47" s="179">
        <f>+チェックリスト!M134</f>
      </c>
      <c r="P47" s="3" t="s">
        <v>620</v>
      </c>
      <c r="R47" s="71" t="s">
        <v>621</v>
      </c>
    </row>
    <row r="48" spans="1:32" ht="15" customHeight="1">
      <c r="A48" s="864" t="s">
        <v>739</v>
      </c>
      <c r="B48" s="865"/>
      <c r="C48" s="865"/>
      <c r="D48" s="865"/>
      <c r="E48" s="865"/>
      <c r="F48" s="865"/>
      <c r="G48" s="865"/>
      <c r="H48" s="865"/>
      <c r="I48" s="865"/>
      <c r="J48" s="865"/>
      <c r="K48" s="865"/>
      <c r="L48" s="82"/>
      <c r="M48" s="82"/>
      <c r="V48" s="886" t="s">
        <v>515</v>
      </c>
      <c r="W48" s="887"/>
      <c r="X48" s="887"/>
      <c r="Y48" s="887"/>
      <c r="Z48" s="887"/>
      <c r="AA48" s="887"/>
      <c r="AB48" s="887"/>
      <c r="AC48" s="887"/>
      <c r="AD48" s="887"/>
      <c r="AE48" s="887"/>
      <c r="AF48" s="887"/>
    </row>
    <row r="49" spans="1:32" ht="15" customHeight="1">
      <c r="A49" s="833" t="s">
        <v>740</v>
      </c>
      <c r="B49" s="833"/>
      <c r="C49" s="404"/>
      <c r="D49" s="363"/>
      <c r="E49" s="832" t="s">
        <v>741</v>
      </c>
      <c r="F49" s="833"/>
      <c r="G49" s="833"/>
      <c r="H49" s="833"/>
      <c r="I49" s="833"/>
      <c r="J49" s="833"/>
      <c r="K49" s="833"/>
      <c r="L49" s="82"/>
      <c r="M49" s="82" t="s">
        <v>475</v>
      </c>
      <c r="V49" s="601"/>
      <c r="W49" s="601"/>
      <c r="X49" s="601"/>
      <c r="Y49" s="601"/>
      <c r="Z49" s="601"/>
      <c r="AA49" s="601"/>
      <c r="AB49" s="601"/>
      <c r="AC49" s="601"/>
      <c r="AD49" s="601"/>
      <c r="AE49" s="601"/>
      <c r="AF49" s="601"/>
    </row>
    <row r="50" spans="5:13" ht="15" customHeight="1">
      <c r="E50" s="444" t="s">
        <v>277</v>
      </c>
      <c r="F50" s="771"/>
      <c r="G50" s="93"/>
      <c r="H50" s="82"/>
      <c r="I50" s="82"/>
      <c r="J50" s="82"/>
      <c r="K50" s="82"/>
      <c r="L50" s="82"/>
      <c r="M50" s="82"/>
    </row>
    <row r="52" ht="15" customHeight="1">
      <c r="A52" s="3" t="s">
        <v>639</v>
      </c>
    </row>
    <row r="54" spans="1:12" ht="15" customHeight="1">
      <c r="A54" s="2" t="s">
        <v>625</v>
      </c>
      <c r="C54" s="2"/>
      <c r="D54" s="2"/>
      <c r="E54" s="2"/>
      <c r="F54" s="2"/>
      <c r="G54" s="2"/>
      <c r="H54" s="2"/>
      <c r="I54" s="2"/>
      <c r="J54" s="2"/>
      <c r="K54" s="2"/>
      <c r="L54" s="2"/>
    </row>
    <row r="55" spans="1:12" ht="15" customHeight="1">
      <c r="A55" s="857" t="s">
        <v>640</v>
      </c>
      <c r="B55" s="858"/>
      <c r="C55" s="858"/>
      <c r="D55" s="858"/>
      <c r="E55" s="858"/>
      <c r="F55" s="858"/>
      <c r="G55" s="858"/>
      <c r="H55" s="858"/>
      <c r="I55" s="858"/>
      <c r="J55" s="858"/>
      <c r="K55" s="858"/>
      <c r="L55" s="2"/>
    </row>
    <row r="56" spans="1:12" ht="15" customHeight="1">
      <c r="A56" s="858"/>
      <c r="B56" s="858"/>
      <c r="C56" s="858"/>
      <c r="D56" s="858"/>
      <c r="E56" s="858"/>
      <c r="F56" s="858"/>
      <c r="G56" s="858"/>
      <c r="H56" s="858"/>
      <c r="I56" s="858"/>
      <c r="J56" s="858"/>
      <c r="K56" s="858"/>
      <c r="L56" s="2"/>
    </row>
    <row r="57" spans="1:12" ht="15" customHeight="1">
      <c r="A57" s="858"/>
      <c r="B57" s="858"/>
      <c r="C57" s="858"/>
      <c r="D57" s="858"/>
      <c r="E57" s="858"/>
      <c r="F57" s="858"/>
      <c r="G57" s="858"/>
      <c r="H57" s="858"/>
      <c r="I57" s="858"/>
      <c r="J57" s="858"/>
      <c r="K57" s="858"/>
      <c r="L57" s="2"/>
    </row>
    <row r="58" spans="1:12" ht="15" customHeight="1">
      <c r="A58" s="2"/>
      <c r="C58" s="2"/>
      <c r="D58" s="2"/>
      <c r="E58" s="2"/>
      <c r="F58" s="2"/>
      <c r="G58" s="2"/>
      <c r="H58" s="2"/>
      <c r="I58" s="2"/>
      <c r="J58" s="2"/>
      <c r="K58" s="2"/>
      <c r="L58" s="2"/>
    </row>
    <row r="59" spans="1:12" ht="15" customHeight="1">
      <c r="A59" s="3" t="s">
        <v>636</v>
      </c>
      <c r="B59" s="2"/>
      <c r="C59" s="2"/>
      <c r="D59" s="2"/>
      <c r="E59" s="2"/>
      <c r="F59" s="2"/>
      <c r="G59" s="2"/>
      <c r="H59" s="2"/>
      <c r="I59" s="2"/>
      <c r="J59" s="2"/>
      <c r="K59" s="2"/>
      <c r="L59" s="2"/>
    </row>
    <row r="60" spans="1:12" ht="15" customHeight="1">
      <c r="A60" s="3" t="s">
        <v>635</v>
      </c>
      <c r="B60" s="2"/>
      <c r="C60" s="2"/>
      <c r="D60" s="2"/>
      <c r="E60" s="2"/>
      <c r="F60" s="2"/>
      <c r="G60" s="2"/>
      <c r="H60" s="2"/>
      <c r="I60" s="2"/>
      <c r="J60" s="2"/>
      <c r="K60" s="2"/>
      <c r="L60" s="2"/>
    </row>
    <row r="61" spans="1:12" ht="15" customHeight="1">
      <c r="A61" s="863" t="s">
        <v>637</v>
      </c>
      <c r="B61" s="858"/>
      <c r="C61" s="858"/>
      <c r="D61" s="858"/>
      <c r="E61" s="858"/>
      <c r="F61" s="858"/>
      <c r="G61" s="858"/>
      <c r="H61" s="858"/>
      <c r="I61" s="858"/>
      <c r="J61" s="858"/>
      <c r="K61" s="858"/>
      <c r="L61" s="2"/>
    </row>
    <row r="62" spans="1:12" ht="15" customHeight="1">
      <c r="A62" s="863"/>
      <c r="B62" s="858"/>
      <c r="C62" s="858"/>
      <c r="D62" s="858"/>
      <c r="E62" s="858"/>
      <c r="F62" s="858"/>
      <c r="G62" s="858"/>
      <c r="H62" s="858"/>
      <c r="I62" s="858"/>
      <c r="J62" s="858"/>
      <c r="K62" s="858"/>
      <c r="L62" s="2"/>
    </row>
    <row r="63" spans="1:12" ht="15" customHeight="1">
      <c r="A63" s="858"/>
      <c r="B63" s="858"/>
      <c r="C63" s="858"/>
      <c r="D63" s="858"/>
      <c r="E63" s="858"/>
      <c r="F63" s="858"/>
      <c r="G63" s="858"/>
      <c r="H63" s="858"/>
      <c r="I63" s="858"/>
      <c r="J63" s="858"/>
      <c r="K63" s="858"/>
      <c r="L63" s="2"/>
    </row>
    <row r="64" spans="1:12" ht="15" customHeight="1">
      <c r="A64" s="863" t="s">
        <v>638</v>
      </c>
      <c r="B64" s="858"/>
      <c r="C64" s="858"/>
      <c r="D64" s="858"/>
      <c r="E64" s="858"/>
      <c r="F64" s="858"/>
      <c r="G64" s="858"/>
      <c r="H64" s="858"/>
      <c r="I64" s="858"/>
      <c r="J64" s="858"/>
      <c r="K64" s="858"/>
      <c r="L64" s="2"/>
    </row>
    <row r="65" spans="1:12" ht="15" customHeight="1">
      <c r="A65" s="858"/>
      <c r="B65" s="858"/>
      <c r="C65" s="858"/>
      <c r="D65" s="858"/>
      <c r="E65" s="858"/>
      <c r="F65" s="858"/>
      <c r="G65" s="858"/>
      <c r="H65" s="858"/>
      <c r="I65" s="858"/>
      <c r="J65" s="858"/>
      <c r="K65" s="858"/>
      <c r="L65" s="2"/>
    </row>
    <row r="66" spans="2:12" ht="15" customHeight="1">
      <c r="B66" s="2"/>
      <c r="C66" s="2"/>
      <c r="D66" s="2"/>
      <c r="E66" s="2"/>
      <c r="F66" s="2"/>
      <c r="G66" s="2"/>
      <c r="H66" s="2"/>
      <c r="I66" s="2"/>
      <c r="J66" s="2"/>
      <c r="K66" s="2"/>
      <c r="L66" s="2"/>
    </row>
    <row r="67" spans="2:12" ht="15" customHeight="1">
      <c r="B67" s="2"/>
      <c r="C67" s="2"/>
      <c r="D67" s="2"/>
      <c r="E67" s="2"/>
      <c r="F67" s="2"/>
      <c r="G67" s="2"/>
      <c r="H67" s="2"/>
      <c r="I67" s="2"/>
      <c r="J67" s="2"/>
      <c r="K67" s="2"/>
      <c r="L67" s="2"/>
    </row>
    <row r="68" spans="1:12" ht="15" customHeight="1">
      <c r="A68" s="3" t="s">
        <v>381</v>
      </c>
      <c r="L68" s="157"/>
    </row>
    <row r="69" spans="1:12" ht="15" customHeight="1">
      <c r="A69" s="3" t="s">
        <v>634</v>
      </c>
      <c r="L69" s="157"/>
    </row>
    <row r="70" spans="1:12" ht="15" customHeight="1">
      <c r="A70" s="3" t="s">
        <v>631</v>
      </c>
      <c r="L70" s="157"/>
    </row>
    <row r="71" spans="1:12" ht="15" customHeight="1">
      <c r="A71" s="3" t="s">
        <v>633</v>
      </c>
      <c r="L71" s="157"/>
    </row>
    <row r="72" spans="1:12" ht="15" customHeight="1">
      <c r="A72" s="3" t="s">
        <v>632</v>
      </c>
      <c r="L72" s="157"/>
    </row>
    <row r="73" ht="15" customHeight="1">
      <c r="L73" s="157"/>
    </row>
    <row r="74" spans="1:12" ht="15" customHeight="1">
      <c r="A74" s="2" t="s">
        <v>630</v>
      </c>
      <c r="L74" s="157"/>
    </row>
    <row r="75" spans="1:12" ht="15" customHeight="1">
      <c r="A75" s="2" t="s">
        <v>626</v>
      </c>
      <c r="L75" s="157"/>
    </row>
    <row r="76" spans="1:12" ht="15" customHeight="1">
      <c r="A76" s="870" t="s">
        <v>380</v>
      </c>
      <c r="B76" s="871"/>
      <c r="C76" s="871"/>
      <c r="D76" s="871"/>
      <c r="E76" s="871"/>
      <c r="F76" s="871"/>
      <c r="G76" s="871"/>
      <c r="H76" s="871"/>
      <c r="I76" s="871"/>
      <c r="J76" s="871"/>
      <c r="K76" s="871"/>
      <c r="L76" s="157"/>
    </row>
    <row r="77" spans="1:12" ht="15" customHeight="1">
      <c r="A77" s="871"/>
      <c r="B77" s="871"/>
      <c r="C77" s="871"/>
      <c r="D77" s="871"/>
      <c r="E77" s="871"/>
      <c r="F77" s="871"/>
      <c r="G77" s="871"/>
      <c r="H77" s="871"/>
      <c r="I77" s="871"/>
      <c r="J77" s="871"/>
      <c r="K77" s="871"/>
      <c r="L77" s="157"/>
    </row>
    <row r="78" spans="1:12" ht="15" customHeight="1">
      <c r="A78" s="2" t="s">
        <v>260</v>
      </c>
      <c r="L78" s="157"/>
    </row>
    <row r="79" spans="1:12" ht="15" customHeight="1">
      <c r="A79" s="302" t="s">
        <v>379</v>
      </c>
      <c r="B79" s="302"/>
      <c r="C79" s="302"/>
      <c r="D79" s="302"/>
      <c r="E79" s="302"/>
      <c r="F79" s="302"/>
      <c r="G79" s="302"/>
      <c r="H79" s="302"/>
      <c r="I79" s="302"/>
      <c r="J79" s="302"/>
      <c r="K79" s="302"/>
      <c r="L79" s="157"/>
    </row>
    <row r="80" spans="1:12" ht="15" customHeight="1">
      <c r="A80" s="360" t="s">
        <v>378</v>
      </c>
      <c r="B80" s="302"/>
      <c r="C80" s="302"/>
      <c r="D80" s="302"/>
      <c r="E80" s="302"/>
      <c r="F80" s="302"/>
      <c r="G80" s="302"/>
      <c r="H80" s="302"/>
      <c r="I80" s="302"/>
      <c r="J80" s="302"/>
      <c r="K80" s="302"/>
      <c r="L80" s="157"/>
    </row>
    <row r="81" spans="1:12" ht="15" customHeight="1">
      <c r="A81" s="881" t="s">
        <v>432</v>
      </c>
      <c r="B81" s="881"/>
      <c r="C81" s="881"/>
      <c r="D81" s="881"/>
      <c r="E81" s="881"/>
      <c r="F81" s="881"/>
      <c r="G81" s="881"/>
      <c r="H81" s="881"/>
      <c r="I81" s="881"/>
      <c r="J81" s="881"/>
      <c r="K81" s="881"/>
      <c r="L81" s="157"/>
    </row>
    <row r="82" spans="1:11" ht="15" customHeight="1">
      <c r="A82" s="881"/>
      <c r="B82" s="881"/>
      <c r="C82" s="881"/>
      <c r="D82" s="881"/>
      <c r="E82" s="881"/>
      <c r="F82" s="881"/>
      <c r="G82" s="881"/>
      <c r="H82" s="881"/>
      <c r="I82" s="881"/>
      <c r="J82" s="881"/>
      <c r="K82" s="881"/>
    </row>
    <row r="87" spans="2:13" ht="15" customHeight="1">
      <c r="B87" s="3" t="s">
        <v>399</v>
      </c>
      <c r="E87" s="218"/>
      <c r="F87" s="80"/>
      <c r="G87" s="93"/>
      <c r="H87" s="82"/>
      <c r="I87" s="82"/>
      <c r="J87" s="82"/>
      <c r="K87" s="82"/>
      <c r="L87" s="82"/>
      <c r="M87" s="82"/>
    </row>
    <row r="88" spans="1:13" ht="15" customHeight="1">
      <c r="A88" s="3" t="s">
        <v>321</v>
      </c>
      <c r="J88" s="82"/>
      <c r="K88" s="82"/>
      <c r="L88" s="178"/>
      <c r="M88" s="82"/>
    </row>
    <row r="89" spans="1:13" ht="15" customHeight="1">
      <c r="A89" s="161" t="s">
        <v>107</v>
      </c>
      <c r="B89" s="827" t="s">
        <v>310</v>
      </c>
      <c r="C89" s="572"/>
      <c r="D89" s="501" t="s">
        <v>36</v>
      </c>
      <c r="E89" s="501" t="s">
        <v>37</v>
      </c>
      <c r="F89" s="827" t="s">
        <v>236</v>
      </c>
      <c r="G89" s="828"/>
      <c r="H89" s="827" t="s">
        <v>238</v>
      </c>
      <c r="I89" s="828"/>
      <c r="J89" s="827" t="s">
        <v>239</v>
      </c>
      <c r="K89" s="828"/>
      <c r="L89" s="82"/>
      <c r="M89" s="82"/>
    </row>
    <row r="90" spans="1:13" ht="15" customHeight="1">
      <c r="A90" s="161"/>
      <c r="B90" s="827" t="s">
        <v>235</v>
      </c>
      <c r="C90" s="572"/>
      <c r="D90" s="501"/>
      <c r="E90" s="501"/>
      <c r="F90" s="827" t="s">
        <v>237</v>
      </c>
      <c r="G90" s="828"/>
      <c r="H90" s="827" t="s">
        <v>240</v>
      </c>
      <c r="I90" s="828"/>
      <c r="J90" s="827" t="s">
        <v>508</v>
      </c>
      <c r="K90" s="828"/>
      <c r="L90" s="82"/>
      <c r="M90" s="82"/>
    </row>
    <row r="91" spans="1:17" ht="15" customHeight="1">
      <c r="A91" s="161" t="s">
        <v>314</v>
      </c>
      <c r="B91" s="61">
        <f>+IF(N91=1,D46,D44)</f>
        <v>0</v>
      </c>
      <c r="D91" s="242">
        <f>+IF(N91=1,E46,IF(N91=2,E44,""))</f>
      </c>
      <c r="E91" s="242">
        <f>+IF(N91=1,G46,G44)</f>
      </c>
      <c r="F91" s="859">
        <f>+IF(N91=1,H46,H44)</f>
      </c>
      <c r="G91" s="860"/>
      <c r="H91" s="573">
        <f>+IF(N91=1,J46,J44)</f>
      </c>
      <c r="I91" s="574"/>
      <c r="J91" s="859">
        <f>+IF(N91=1,K46,K44)</f>
      </c>
      <c r="K91" s="860"/>
      <c r="L91" s="82"/>
      <c r="M91" s="82"/>
      <c r="N91" s="179">
        <f>+チェックリスト!R17</f>
        <v>0</v>
      </c>
      <c r="O91" s="3" t="s">
        <v>261</v>
      </c>
      <c r="Q91" s="71" t="s">
        <v>483</v>
      </c>
    </row>
    <row r="92" spans="1:13" ht="15" customHeight="1">
      <c r="A92" s="161" t="s">
        <v>315</v>
      </c>
      <c r="B92" s="213">
        <f>+IF(N91=1,D47,D45)</f>
        <v>0</v>
      </c>
      <c r="C92" s="7"/>
      <c r="D92" s="243">
        <f>+IF(N91=1,E47,IF(N91=2,E45,""))</f>
      </c>
      <c r="E92" s="243">
        <f>+IF(N91=1,G47,G45)</f>
      </c>
      <c r="F92" s="866">
        <f>+IF(N91=1,H47,H45)</f>
      </c>
      <c r="G92" s="867"/>
      <c r="H92" s="868"/>
      <c r="I92" s="869"/>
      <c r="J92" s="866">
        <f>+IF(N91=1,K47,K45)</f>
      </c>
      <c r="K92" s="867"/>
      <c r="L92" s="82"/>
      <c r="M92" s="82"/>
    </row>
    <row r="93" spans="5:13" ht="15" customHeight="1">
      <c r="E93" s="218"/>
      <c r="F93" s="80"/>
      <c r="G93" s="93"/>
      <c r="H93" s="82"/>
      <c r="I93" s="82"/>
      <c r="J93" s="82"/>
      <c r="K93" s="82"/>
      <c r="L93" s="82"/>
      <c r="M93" s="82"/>
    </row>
    <row r="94" spans="1:12" ht="15" customHeight="1">
      <c r="A94" s="2" t="s">
        <v>532</v>
      </c>
      <c r="B94" s="2"/>
      <c r="C94" s="2"/>
      <c r="D94" s="2"/>
      <c r="E94" s="2"/>
      <c r="F94" s="2"/>
      <c r="G94" s="2"/>
      <c r="H94" s="2"/>
      <c r="I94" s="2"/>
      <c r="J94" s="2"/>
      <c r="K94" s="2"/>
      <c r="L94" s="2"/>
    </row>
    <row r="95" spans="2:12" ht="15" customHeight="1">
      <c r="B95" s="2" t="s">
        <v>533</v>
      </c>
      <c r="C95" s="2"/>
      <c r="D95" s="2"/>
      <c r="E95" s="2"/>
      <c r="F95" s="2"/>
      <c r="G95" s="2"/>
      <c r="H95" s="2"/>
      <c r="I95" s="2"/>
      <c r="J95" s="2"/>
      <c r="K95" s="2"/>
      <c r="L95" s="2"/>
    </row>
    <row r="96" spans="1:12" ht="15" customHeight="1">
      <c r="A96" s="331" t="s">
        <v>534</v>
      </c>
      <c r="B96" s="2"/>
      <c r="C96" s="2"/>
      <c r="D96" s="2"/>
      <c r="E96" s="2"/>
      <c r="F96" s="2"/>
      <c r="G96" s="2"/>
      <c r="H96" s="2"/>
      <c r="I96" s="2"/>
      <c r="J96" s="2"/>
      <c r="K96" s="2"/>
      <c r="L96" s="2"/>
    </row>
    <row r="97" spans="1:12" ht="15" customHeight="1">
      <c r="A97" s="2"/>
      <c r="C97" s="2"/>
      <c r="D97" s="2" t="s">
        <v>206</v>
      </c>
      <c r="F97" s="2" t="s">
        <v>207</v>
      </c>
      <c r="H97" s="2" t="s">
        <v>208</v>
      </c>
      <c r="I97" s="2"/>
      <c r="J97" s="2"/>
      <c r="K97" s="2"/>
      <c r="L97" s="2"/>
    </row>
    <row r="98" spans="1:12" ht="15" customHeight="1">
      <c r="A98" s="2" t="s">
        <v>209</v>
      </c>
      <c r="C98" s="2"/>
      <c r="D98" s="2" t="s">
        <v>535</v>
      </c>
      <c r="F98" s="2" t="s">
        <v>536</v>
      </c>
      <c r="H98" s="2" t="s">
        <v>537</v>
      </c>
      <c r="I98" s="2"/>
      <c r="J98" s="2"/>
      <c r="K98" s="2"/>
      <c r="L98" s="2"/>
    </row>
    <row r="99" spans="1:12" ht="15" customHeight="1">
      <c r="A99" s="2" t="s">
        <v>210</v>
      </c>
      <c r="C99" s="2" t="s">
        <v>211</v>
      </c>
      <c r="D99" s="2" t="s">
        <v>538</v>
      </c>
      <c r="F99" s="2" t="s">
        <v>539</v>
      </c>
      <c r="H99" s="2" t="s">
        <v>540</v>
      </c>
      <c r="I99" s="2"/>
      <c r="J99" s="2"/>
      <c r="K99" s="2"/>
      <c r="L99" s="2"/>
    </row>
    <row r="100" spans="1:12" ht="15" customHeight="1">
      <c r="A100" s="2"/>
      <c r="C100" s="2" t="s">
        <v>212</v>
      </c>
      <c r="D100" s="2" t="s">
        <v>541</v>
      </c>
      <c r="F100" s="2" t="s">
        <v>542</v>
      </c>
      <c r="H100" s="2" t="s">
        <v>543</v>
      </c>
      <c r="I100" s="2"/>
      <c r="J100" s="2"/>
      <c r="K100" s="2"/>
      <c r="L100" s="2"/>
    </row>
    <row r="101" spans="1:12" ht="15" customHeight="1">
      <c r="A101" s="2" t="s">
        <v>213</v>
      </c>
      <c r="C101" s="2" t="s">
        <v>214</v>
      </c>
      <c r="D101" s="2" t="s">
        <v>544</v>
      </c>
      <c r="F101" s="2" t="s">
        <v>545</v>
      </c>
      <c r="H101" s="2" t="s">
        <v>546</v>
      </c>
      <c r="I101" s="2"/>
      <c r="J101" s="2"/>
      <c r="K101" s="2"/>
      <c r="L101" s="2"/>
    </row>
    <row r="102" spans="1:12" ht="15" customHeight="1">
      <c r="A102" s="2"/>
      <c r="C102" s="2" t="s">
        <v>211</v>
      </c>
      <c r="D102" s="2" t="s">
        <v>547</v>
      </c>
      <c r="F102" s="2" t="s">
        <v>548</v>
      </c>
      <c r="H102" s="2" t="s">
        <v>549</v>
      </c>
      <c r="I102" s="2"/>
      <c r="J102" s="2"/>
      <c r="K102" s="2"/>
      <c r="L102" s="2"/>
    </row>
    <row r="103" spans="1:12" ht="15" customHeight="1">
      <c r="A103" s="2"/>
      <c r="C103" s="2" t="s">
        <v>212</v>
      </c>
      <c r="D103" s="2" t="s">
        <v>550</v>
      </c>
      <c r="F103" s="2" t="s">
        <v>551</v>
      </c>
      <c r="H103" s="2" t="s">
        <v>552</v>
      </c>
      <c r="I103" s="2"/>
      <c r="J103" s="2"/>
      <c r="K103" s="2"/>
      <c r="L103" s="2"/>
    </row>
    <row r="104" spans="1:12" ht="15" customHeight="1">
      <c r="A104" s="2"/>
      <c r="C104" s="2"/>
      <c r="D104" s="2"/>
      <c r="F104" s="2"/>
      <c r="H104" s="2"/>
      <c r="I104" s="2"/>
      <c r="J104" s="2"/>
      <c r="K104" s="2"/>
      <c r="L104" s="2"/>
    </row>
    <row r="105" spans="2:12" ht="15" customHeight="1">
      <c r="B105" s="2" t="s">
        <v>553</v>
      </c>
      <c r="C105" s="2"/>
      <c r="E105" s="2"/>
      <c r="F105" s="2"/>
      <c r="G105" s="2" t="s">
        <v>554</v>
      </c>
      <c r="H105" s="2"/>
      <c r="I105" s="2"/>
      <c r="J105" s="2"/>
      <c r="K105" s="2"/>
      <c r="L105" s="2"/>
    </row>
    <row r="106" spans="2:12" ht="15" customHeight="1">
      <c r="B106" s="2" t="s">
        <v>555</v>
      </c>
      <c r="C106" s="2"/>
      <c r="E106" s="2"/>
      <c r="F106" s="2"/>
      <c r="G106" s="2" t="s">
        <v>556</v>
      </c>
      <c r="H106" s="2"/>
      <c r="I106" s="2"/>
      <c r="J106" s="2"/>
      <c r="K106" s="2"/>
      <c r="L106" s="2"/>
    </row>
    <row r="107" spans="2:12" ht="15" customHeight="1">
      <c r="B107" s="2" t="s">
        <v>624</v>
      </c>
      <c r="C107" s="2"/>
      <c r="E107" s="2"/>
      <c r="F107" s="2"/>
      <c r="G107" s="2" t="s">
        <v>557</v>
      </c>
      <c r="H107" s="2"/>
      <c r="I107" s="2"/>
      <c r="J107" s="2"/>
      <c r="K107" s="2"/>
      <c r="L107" s="2"/>
    </row>
    <row r="108" spans="2:12" ht="15" customHeight="1">
      <c r="B108" s="332" t="s">
        <v>558</v>
      </c>
      <c r="C108" s="2"/>
      <c r="E108" s="2"/>
      <c r="F108" s="2"/>
      <c r="G108" s="332" t="s">
        <v>559</v>
      </c>
      <c r="H108" s="2"/>
      <c r="I108" s="2"/>
      <c r="J108" s="2"/>
      <c r="K108" s="2"/>
      <c r="L108" s="2"/>
    </row>
    <row r="109" spans="2:12" ht="15" customHeight="1">
      <c r="B109" s="332" t="s">
        <v>560</v>
      </c>
      <c r="C109" s="2"/>
      <c r="E109" s="2"/>
      <c r="F109" s="2"/>
      <c r="G109" s="2" t="s">
        <v>561</v>
      </c>
      <c r="H109" s="2"/>
      <c r="I109" s="2"/>
      <c r="J109" s="2"/>
      <c r="K109" s="2"/>
      <c r="L109" s="2"/>
    </row>
    <row r="110" spans="2:12" ht="15" customHeight="1">
      <c r="B110" s="2" t="s">
        <v>562</v>
      </c>
      <c r="C110" s="2"/>
      <c r="E110" s="2"/>
      <c r="F110" s="2"/>
      <c r="G110" s="2" t="s">
        <v>563</v>
      </c>
      <c r="H110" s="2"/>
      <c r="I110" s="2"/>
      <c r="J110" s="2"/>
      <c r="K110" s="2"/>
      <c r="L110" s="2"/>
    </row>
    <row r="111" spans="2:12" ht="15" customHeight="1">
      <c r="B111" s="2" t="s">
        <v>564</v>
      </c>
      <c r="C111" s="2"/>
      <c r="E111" s="2"/>
      <c r="F111" s="2"/>
      <c r="G111" s="2" t="s">
        <v>565</v>
      </c>
      <c r="H111" s="2"/>
      <c r="I111" s="2"/>
      <c r="J111" s="2"/>
      <c r="K111" s="2"/>
      <c r="L111" s="2"/>
    </row>
    <row r="112" spans="2:12" ht="15" customHeight="1">
      <c r="B112" s="2" t="s">
        <v>566</v>
      </c>
      <c r="C112" s="2"/>
      <c r="E112" s="2"/>
      <c r="F112" s="2"/>
      <c r="G112" s="2" t="s">
        <v>567</v>
      </c>
      <c r="H112" s="2"/>
      <c r="I112" s="2"/>
      <c r="J112" s="2"/>
      <c r="K112" s="2"/>
      <c r="L112" s="2"/>
    </row>
    <row r="113" spans="2:12" ht="15" customHeight="1">
      <c r="B113" s="2" t="s">
        <v>568</v>
      </c>
      <c r="C113" s="2"/>
      <c r="D113" s="2"/>
      <c r="E113" s="2"/>
      <c r="F113" s="2"/>
      <c r="G113" s="2"/>
      <c r="H113" s="2"/>
      <c r="I113" s="2"/>
      <c r="J113" s="2"/>
      <c r="K113" s="2"/>
      <c r="L113" s="2"/>
    </row>
    <row r="114" spans="2:12" ht="15" customHeight="1">
      <c r="B114" s="2" t="s">
        <v>569</v>
      </c>
      <c r="C114" s="2"/>
      <c r="D114" s="2"/>
      <c r="E114" s="2"/>
      <c r="F114" s="2"/>
      <c r="G114" s="2"/>
      <c r="H114" s="2"/>
      <c r="I114" s="2"/>
      <c r="J114" s="2"/>
      <c r="K114" s="2"/>
      <c r="L114" s="2"/>
    </row>
    <row r="115" spans="2:12" ht="15" customHeight="1">
      <c r="B115" s="2"/>
      <c r="C115" s="2"/>
      <c r="D115" s="2"/>
      <c r="E115" s="2"/>
      <c r="F115" s="2"/>
      <c r="G115" s="2"/>
      <c r="H115" s="2"/>
      <c r="I115" s="2"/>
      <c r="J115" s="2"/>
      <c r="K115" s="2"/>
      <c r="L115" s="2"/>
    </row>
    <row r="116" spans="1:12" ht="15" customHeight="1">
      <c r="A116" s="3" t="s">
        <v>570</v>
      </c>
      <c r="B116" s="2"/>
      <c r="C116" s="2"/>
      <c r="D116" s="2"/>
      <c r="E116" s="2"/>
      <c r="F116" s="2"/>
      <c r="G116" s="2"/>
      <c r="H116" s="2"/>
      <c r="I116" s="2"/>
      <c r="J116" s="2"/>
      <c r="K116" s="2"/>
      <c r="L116" s="2"/>
    </row>
    <row r="117" spans="1:12" ht="15" customHeight="1">
      <c r="A117" s="2" t="s">
        <v>571</v>
      </c>
      <c r="C117" s="2"/>
      <c r="D117" s="2"/>
      <c r="F117" s="2"/>
      <c r="H117" s="2"/>
      <c r="I117" s="2"/>
      <c r="J117" s="2"/>
      <c r="K117" s="2"/>
      <c r="L117" s="2"/>
    </row>
    <row r="118" spans="2:12" ht="15" customHeight="1">
      <c r="B118" s="2" t="s">
        <v>572</v>
      </c>
      <c r="C118" s="2"/>
      <c r="D118" s="2"/>
      <c r="E118" s="2"/>
      <c r="F118" s="2"/>
      <c r="G118" s="2"/>
      <c r="H118" s="2"/>
      <c r="I118" s="2"/>
      <c r="J118" s="2"/>
      <c r="K118" s="2"/>
      <c r="L118" s="2"/>
    </row>
    <row r="119" spans="2:12" ht="15" customHeight="1">
      <c r="B119" s="2" t="s">
        <v>573</v>
      </c>
      <c r="C119" s="2"/>
      <c r="D119" s="2"/>
      <c r="E119" s="2"/>
      <c r="F119" s="2"/>
      <c r="G119" s="2"/>
      <c r="H119" s="2"/>
      <c r="I119" s="2"/>
      <c r="J119" s="2"/>
      <c r="K119" s="2"/>
      <c r="L119" s="2"/>
    </row>
    <row r="120" spans="2:12" ht="15" customHeight="1">
      <c r="B120" s="2" t="s">
        <v>574</v>
      </c>
      <c r="C120" s="2"/>
      <c r="D120" s="2"/>
      <c r="E120" s="2"/>
      <c r="F120" s="2"/>
      <c r="G120" s="2"/>
      <c r="H120" s="2"/>
      <c r="I120" s="2"/>
      <c r="J120" s="2"/>
      <c r="K120" s="2"/>
      <c r="L120" s="2"/>
    </row>
    <row r="121" spans="2:12" ht="15" customHeight="1">
      <c r="B121" s="600" t="s">
        <v>627</v>
      </c>
      <c r="C121" s="620"/>
      <c r="D121" s="620"/>
      <c r="E121" s="620"/>
      <c r="F121" s="620"/>
      <c r="G121" s="620"/>
      <c r="H121" s="620"/>
      <c r="I121" s="620"/>
      <c r="J121" s="620"/>
      <c r="K121" s="620"/>
      <c r="L121" s="2"/>
    </row>
    <row r="122" spans="2:12" ht="15" customHeight="1">
      <c r="B122" s="620"/>
      <c r="C122" s="620"/>
      <c r="D122" s="620"/>
      <c r="E122" s="620"/>
      <c r="F122" s="620"/>
      <c r="G122" s="620"/>
      <c r="H122" s="620"/>
      <c r="I122" s="620"/>
      <c r="J122" s="620"/>
      <c r="K122" s="620"/>
      <c r="L122" s="2"/>
    </row>
    <row r="123" spans="2:12" ht="15" customHeight="1">
      <c r="B123" s="2"/>
      <c r="C123" s="2"/>
      <c r="D123" s="2"/>
      <c r="E123" s="2"/>
      <c r="F123" s="2"/>
      <c r="G123" s="2"/>
      <c r="H123" s="2"/>
      <c r="I123" s="2"/>
      <c r="J123" s="2"/>
      <c r="K123" s="2"/>
      <c r="L123" s="2"/>
    </row>
    <row r="124" spans="1:12" ht="15" customHeight="1">
      <c r="A124" s="331" t="s">
        <v>575</v>
      </c>
      <c r="B124" s="2"/>
      <c r="C124" s="2"/>
      <c r="D124" s="2"/>
      <c r="E124" s="2"/>
      <c r="F124" s="2"/>
      <c r="G124" s="2"/>
      <c r="H124" s="2"/>
      <c r="I124" s="2"/>
      <c r="J124" s="2"/>
      <c r="K124" s="2"/>
      <c r="L124" s="2"/>
    </row>
    <row r="125" spans="2:12" ht="15" customHeight="1">
      <c r="B125" s="2"/>
      <c r="C125" s="2" t="s">
        <v>576</v>
      </c>
      <c r="E125" s="2" t="s">
        <v>527</v>
      </c>
      <c r="G125" s="2" t="s">
        <v>577</v>
      </c>
      <c r="H125" s="2"/>
      <c r="I125" s="2"/>
      <c r="J125" s="2"/>
      <c r="K125" s="2"/>
      <c r="L125" s="2"/>
    </row>
    <row r="126" spans="2:12" ht="15" customHeight="1">
      <c r="B126" s="2" t="s">
        <v>214</v>
      </c>
      <c r="C126" s="157">
        <f>+K13</f>
      </c>
      <c r="E126" s="157">
        <f>IF(G13="","",G13)</f>
      </c>
      <c r="F126" s="333">
        <f>+IF(E126="","",IF(E126&lt;4,1.3,IF(E126&lt;6,1.15,1)))</f>
      </c>
      <c r="G126" s="2"/>
      <c r="H126" s="334">
        <f>IF(OR(C126=0,E126=""),0,1)</f>
        <v>0</v>
      </c>
      <c r="I126" s="335" t="s">
        <v>578</v>
      </c>
      <c r="J126" s="336" t="str">
        <f>IF(C126="","*",IF(C127="","*",MAX(0.1,C126/C127)))</f>
        <v>*</v>
      </c>
      <c r="K126" s="2"/>
      <c r="L126" s="2"/>
    </row>
    <row r="127" spans="2:12" ht="15" customHeight="1">
      <c r="B127" s="2" t="s">
        <v>211</v>
      </c>
      <c r="C127" s="157">
        <f>+K14</f>
      </c>
      <c r="E127" s="157">
        <f>IF(G14="","",G14)</f>
      </c>
      <c r="F127" s="333">
        <f>+IF(E127="","",IF(E127&lt;4,1.3,IF(E127&lt;6,1.15,1)))</f>
      </c>
      <c r="H127" s="337">
        <f>IF(C126="",IF(C127=0,0,1),+F129)</f>
        <v>1</v>
      </c>
      <c r="I127" s="335" t="s">
        <v>579</v>
      </c>
      <c r="J127" s="336" t="str">
        <f>IF(C127="","*",IF(C128="","*",MAX(0.1,C127/C128)))</f>
        <v>*</v>
      </c>
      <c r="K127" s="2"/>
      <c r="L127" s="2"/>
    </row>
    <row r="128" spans="2:12" ht="15" customHeight="1">
      <c r="B128" s="2" t="s">
        <v>212</v>
      </c>
      <c r="C128" s="157">
        <f>+K15</f>
      </c>
      <c r="E128" s="157">
        <f>IF(G15="","",G15)</f>
      </c>
      <c r="F128" s="333">
        <f>+IF(E128="","",IF(C127="",1,IF(E128&lt;4,1.3,IF(E128&lt;6,1.15,1))))</f>
      </c>
      <c r="H128" s="337">
        <f>IF(F127=0,IF(C128=0,0,1),+F129)</f>
        <v>0</v>
      </c>
      <c r="I128" s="2"/>
      <c r="J128" s="2"/>
      <c r="K128" s="2"/>
      <c r="L128" s="2"/>
    </row>
    <row r="129" spans="2:12" ht="15" customHeight="1">
      <c r="B129" s="2"/>
      <c r="C129" s="157"/>
      <c r="F129" s="333">
        <f>+MAX(F126,F127,F128)</f>
        <v>0</v>
      </c>
      <c r="H129" s="333"/>
      <c r="I129" s="2"/>
      <c r="J129" s="2"/>
      <c r="K129" s="2"/>
      <c r="L129" s="2"/>
    </row>
    <row r="130" spans="1:12" ht="15" customHeight="1">
      <c r="A130" s="2"/>
      <c r="B130" s="332" t="s">
        <v>580</v>
      </c>
      <c r="C130" s="2"/>
      <c r="D130" s="2"/>
      <c r="E130" s="2"/>
      <c r="F130" s="2"/>
      <c r="G130" s="2"/>
      <c r="H130" s="2"/>
      <c r="I130" s="2"/>
      <c r="J130" s="2"/>
      <c r="K130" s="2"/>
      <c r="L130" s="2"/>
    </row>
    <row r="131" spans="1:12" ht="15" customHeight="1">
      <c r="A131" s="2" t="s">
        <v>581</v>
      </c>
      <c r="B131" s="2"/>
      <c r="C131" s="2"/>
      <c r="D131" s="2"/>
      <c r="F131" s="2"/>
      <c r="H131" s="2">
        <f>+O4</f>
        <v>0</v>
      </c>
      <c r="I131" s="2"/>
      <c r="J131" s="2"/>
      <c r="K131" s="2"/>
      <c r="L131" s="2"/>
    </row>
    <row r="132" spans="1:12" ht="15" customHeight="1">
      <c r="A132" s="2" t="s">
        <v>582</v>
      </c>
      <c r="B132" s="2"/>
      <c r="C132" s="2"/>
      <c r="D132" s="2"/>
      <c r="E132" s="2"/>
      <c r="F132" s="2"/>
      <c r="G132" s="2"/>
      <c r="H132" s="338"/>
      <c r="I132" s="2"/>
      <c r="J132" s="2"/>
      <c r="K132" s="2"/>
      <c r="L132" s="2"/>
    </row>
    <row r="133" spans="1:11" ht="15" customHeight="1">
      <c r="A133" s="2" t="s">
        <v>214</v>
      </c>
      <c r="B133" s="339" t="str">
        <f>IF(C126="","*",IF(H131=3,"k6＝1.04+0.13/Rf1+0.24/Rf2","k6＝1.23+0.1/Rf1+0.23/Rf2"))</f>
        <v>*</v>
      </c>
      <c r="C133" s="2"/>
      <c r="D133" s="2"/>
      <c r="E133" s="2"/>
      <c r="F133" s="2"/>
      <c r="G133" s="2"/>
      <c r="H133" s="2"/>
      <c r="I133" s="2"/>
      <c r="J133" s="2"/>
      <c r="K133" s="2"/>
    </row>
    <row r="134" spans="1:11" ht="15" customHeight="1">
      <c r="A134" s="2"/>
      <c r="B134" s="2"/>
      <c r="C134" s="340" t="s">
        <v>583</v>
      </c>
      <c r="D134" s="2"/>
      <c r="F134" s="340" t="s">
        <v>584</v>
      </c>
      <c r="G134" s="2"/>
      <c r="I134" s="335" t="str">
        <f>IF(C126="","*","k6")</f>
        <v>*</v>
      </c>
      <c r="J134" s="336" t="str">
        <f>IF(C126="","*",IF(H131=3,"0.64k6",IF(H131=2,"0.40k6",IF(H131=1,"0.28k6","未入力"))))</f>
        <v>*</v>
      </c>
      <c r="K134" s="2"/>
    </row>
    <row r="135" spans="1:11" ht="15" customHeight="1">
      <c r="A135" s="2"/>
      <c r="B135" s="335" t="str">
        <f>IF(C126="","*",IF(H131=3,"1.04+0.13/","1.23+0.1/"))</f>
        <v>*</v>
      </c>
      <c r="C135" s="336" t="str">
        <f>+J127</f>
        <v>*</v>
      </c>
      <c r="E135" s="335" t="str">
        <f>IF(C126="","*",IF(H131=3,"＋0.24/","＋0.23/"))</f>
        <v>*</v>
      </c>
      <c r="F135" s="336" t="str">
        <f>+J126</f>
        <v>*</v>
      </c>
      <c r="G135" s="331" t="s">
        <v>585</v>
      </c>
      <c r="I135" s="336" t="str">
        <f>IF(C126="","*",IF(F135="*","*",IF(H131=3,1.04+0.13/C135+0.24/F135,1.23+0.1/C135+0.23/F135)))</f>
        <v>*</v>
      </c>
      <c r="J135" s="336" t="str">
        <f>IF(C126="","*",IF(I135="*","*",IF(H131=3,0.64*I135,IF(H131=2,0.4*I135,IF(H131=1,0.28*I135,"*")))))</f>
        <v>*</v>
      </c>
      <c r="K135" s="2"/>
    </row>
    <row r="136" spans="1:11" ht="15" customHeight="1">
      <c r="A136" s="2"/>
      <c r="B136" s="2"/>
      <c r="C136" s="2"/>
      <c r="D136" s="2"/>
      <c r="E136" s="2"/>
      <c r="F136" s="2"/>
      <c r="G136" s="2"/>
      <c r="I136" s="2"/>
      <c r="J136" s="2"/>
      <c r="K136" s="2"/>
    </row>
    <row r="137" spans="1:11" ht="15" customHeight="1">
      <c r="A137" s="2" t="s">
        <v>211</v>
      </c>
      <c r="B137" s="339" t="str">
        <f>IF(C127="","*",IF(C126="",IF(H131=3,"k2=1.06+0.15/Rf1","k2=1.3+0.07/Rf1"),IF(H131=3,"k5＝0.98+0.1/Rf1+0.05/Rf2","k5＝1.03+0.1/Rf1+0.08/Rf2")))</f>
        <v>*</v>
      </c>
      <c r="C137" s="2"/>
      <c r="D137" s="2"/>
      <c r="E137" s="2"/>
      <c r="F137" s="2"/>
      <c r="I137" s="340" t="str">
        <f>IF(C127="","*",IF(C126="","k2","k5"))</f>
        <v>*</v>
      </c>
      <c r="J137" s="341" t="str">
        <f>IF(C127="","*",IF(C126="",IF(H131=3,"0.64k2",IF(H131=2,"0.40k2",IF(H131=1,"0.28k2","未入力"))),IF(H131=3,"1.22k4k5",IF(H131=2,"0.92k4k5",IF(H131=1,"0.72k4k5","未入力")))))</f>
        <v>*</v>
      </c>
      <c r="K137" s="342"/>
    </row>
    <row r="138" spans="1:11" ht="15" customHeight="1">
      <c r="A138" s="2"/>
      <c r="B138" s="340" t="str">
        <f>IF(C127="","*",IF(C126="",IF(H131=3,"1.06+0.15/","1.3+0.07/"),IF(H131=3,"0.98+0.1/","1.03+0.1/")))</f>
        <v>*</v>
      </c>
      <c r="C138" s="336" t="str">
        <f>+J127</f>
        <v>*</v>
      </c>
      <c r="E138" s="340" t="str">
        <f>IF(C127="","*",IF(C126="","*",IF(H131=3,"+0.05/","+0.08/")))</f>
        <v>*</v>
      </c>
      <c r="F138" s="343" t="str">
        <f>+J126</f>
        <v>*</v>
      </c>
      <c r="G138" s="331" t="s">
        <v>585</v>
      </c>
      <c r="I138" s="343" t="str">
        <f>IF(C127="","*",IF(C138="*","*",IF(C126="",IF(H131=3,1.06+0.15/C138,1.3+0.07/C138),IF(H131=3,0.98+0.1/C138+0.05/F138,1.03+0.1/C138+0.08/F138))))</f>
        <v>*</v>
      </c>
      <c r="J138" s="343" t="str">
        <f>IF(C127="","*",IF(C138="*","*",IF(C126="",IF(H131=3,0.64*I138,IF(H131=2,0.4*I138,IF(H131=1,0.28*I138,"*"))),IF(H131=3,1.22*I138*I140,IF(H131=2,0.92*I138*I140,IF(H131=1,0.72*I138*I140,"*"))))))</f>
        <v>*</v>
      </c>
      <c r="K138" s="2"/>
    </row>
    <row r="139" spans="1:11" ht="15" customHeight="1">
      <c r="A139" s="2"/>
      <c r="B139" s="339" t="str">
        <f>IF(C127="","*",IF(C126="","*",IF(H131=3,"k4＝0.53+0.47*Rf2","k4＝0.40+0.6*Rf2")))</f>
        <v>*</v>
      </c>
      <c r="C139" s="2"/>
      <c r="D139" s="2"/>
      <c r="E139" s="339"/>
      <c r="F139" s="2"/>
      <c r="I139" s="340" t="str">
        <f>IF(C127="","*",IF(C126="","*","k4"))</f>
        <v>*</v>
      </c>
      <c r="J139" s="2"/>
      <c r="K139" s="2"/>
    </row>
    <row r="140" spans="1:11" ht="15" customHeight="1">
      <c r="A140" s="2"/>
      <c r="B140" s="801" t="str">
        <f>IF(C127="","*",IF(C126="","*",IF(H131=3,"0.53+0.47×","0.40+0.6×")))</f>
        <v>*</v>
      </c>
      <c r="C140" s="484"/>
      <c r="D140" s="339"/>
      <c r="F140" s="336" t="str">
        <f>+J126</f>
        <v>*</v>
      </c>
      <c r="G140" s="331" t="s">
        <v>586</v>
      </c>
      <c r="I140" s="343" t="str">
        <f>IF(C127="","*",IF(C126="","*",IF(H131=3,0.53+0.47*F140,0.4+0.6*F140)))</f>
        <v>*</v>
      </c>
      <c r="J140" s="2"/>
      <c r="K140" s="2"/>
    </row>
    <row r="141" spans="1:11" ht="15" customHeight="1">
      <c r="A141" s="2"/>
      <c r="B141" s="2"/>
      <c r="C141" s="2"/>
      <c r="D141" s="2"/>
      <c r="E141" s="2"/>
      <c r="F141" s="2"/>
      <c r="G141" s="2"/>
      <c r="H141" s="338"/>
      <c r="I141" s="2"/>
      <c r="J141" s="2"/>
      <c r="K141" s="2"/>
    </row>
    <row r="142" spans="1:11" ht="15" customHeight="1">
      <c r="A142" s="2" t="s">
        <v>212</v>
      </c>
      <c r="B142" s="339" t="str">
        <f>IF(C127="","*",IF(C126="",IF(H131=3,"k1=0.53+0.47×Rf1","k1=0.40+0.6×Rf1"),IF(H131=3,"k3＝(0.36+0.64×Rf1)×(0.68+0.32×Rf2)","k3＝(0.25+0.75×Rf1)×(0.65+0.35×Rf2)")))</f>
        <v>*</v>
      </c>
      <c r="C142" s="2"/>
      <c r="D142" s="2"/>
      <c r="E142" s="339"/>
      <c r="F142" s="2"/>
      <c r="I142" s="340" t="str">
        <f>IF(C127="","*",IF(C126="","k1","k3"))</f>
        <v>*</v>
      </c>
      <c r="J142" s="343" t="str">
        <f>IF(C127="",IF(H131=3,"0.64",IF(H131=2,"0.40",IF(H131=1,"0.28","未入力"))),IF(C126="",IF(H131=3,"1.22k1",IF(H131=2,"0.92k1",IF(H131=1,"0.72k1","未入力"))),IF(H131=3,"1.80k3",IF(H131=2,"1.44k3",IF(H131=1,"1.16k3","未入力")))))</f>
        <v>未入力</v>
      </c>
      <c r="K142" s="2"/>
    </row>
    <row r="143" spans="1:11" ht="15" customHeight="1">
      <c r="A143" s="799" t="str">
        <f>IF(C127="","*",IF(C126="",IF(H131=3,"0.53+0.47×","0.40+0.6×"),IF(H131=3,"(0.36+0.64×","(0.25+0.75×")))</f>
        <v>*</v>
      </c>
      <c r="B143" s="800"/>
      <c r="C143" s="336" t="str">
        <f>+J127</f>
        <v>*</v>
      </c>
      <c r="E143" s="340" t="str">
        <f>IF(C127="","*",IF(C126="","*",IF(H131=3,")×(0.68+0.32×",")×(0.65+0.35×")))</f>
        <v>*</v>
      </c>
      <c r="F143" s="343" t="str">
        <f>+J126</f>
        <v>*</v>
      </c>
      <c r="G143" s="331" t="s">
        <v>587</v>
      </c>
      <c r="I143" s="343" t="str">
        <f>IF(C127="","*",IF(C126="",IF(H131=3,0.53+0.47*C143,0.4+0.6*C143),IF(H131=3,MIN(2,(0.36+0.64*C143)*(0.68+0.32*F143)),(0.25+0.75*C143)*(0.65+0.35*F143))))</f>
        <v>*</v>
      </c>
      <c r="J143" s="343" t="str">
        <f>IF(C127="",IF(H131=3,0.64,IF(H131=2,0.4,IF(H131=1,0.28,"*"))),IF(C126="",IF(H131=3,1.22*I143,IF(H131=2,0.92*I143,IF(H131=1,0.72*I143,"*"))),IF(H131=3,1.8*I143,IF(H131=2,1.44*I143,IF(H131=1,1.16*I143,"*")))))</f>
        <v>*</v>
      </c>
      <c r="K143" s="2"/>
    </row>
    <row r="144" spans="1:12" ht="15" customHeight="1">
      <c r="A144" s="344"/>
      <c r="B144" s="345"/>
      <c r="C144" s="336"/>
      <c r="E144" s="340"/>
      <c r="F144" s="343"/>
      <c r="G144" s="331"/>
      <c r="I144" s="343"/>
      <c r="J144" s="343"/>
      <c r="K144" s="2"/>
      <c r="L144" s="2"/>
    </row>
    <row r="145" spans="1:12" ht="15" customHeight="1">
      <c r="A145" s="344"/>
      <c r="B145" s="345"/>
      <c r="C145" s="336"/>
      <c r="E145" s="340"/>
      <c r="F145" s="343"/>
      <c r="G145" s="331"/>
      <c r="I145" s="343"/>
      <c r="J145" s="343"/>
      <c r="K145" s="2"/>
      <c r="L145" s="2"/>
    </row>
    <row r="146" spans="1:12" ht="15" customHeight="1">
      <c r="A146" s="716" t="s">
        <v>588</v>
      </c>
      <c r="B146" s="716"/>
      <c r="C146" s="716"/>
      <c r="D146" s="716"/>
      <c r="E146" s="716"/>
      <c r="F146" s="716"/>
      <c r="G146" s="716"/>
      <c r="H146" s="716"/>
      <c r="I146" s="716"/>
      <c r="J146" s="716"/>
      <c r="K146" s="716"/>
      <c r="L146" s="2"/>
    </row>
    <row r="147" spans="1:12" ht="15" customHeight="1">
      <c r="A147" s="716"/>
      <c r="B147" s="716"/>
      <c r="C147" s="716"/>
      <c r="D147" s="716"/>
      <c r="E147" s="716"/>
      <c r="F147" s="716"/>
      <c r="G147" s="716"/>
      <c r="H147" s="716"/>
      <c r="I147" s="716"/>
      <c r="J147" s="716"/>
      <c r="K147" s="716"/>
      <c r="L147" s="2"/>
    </row>
    <row r="148" spans="1:12" ht="15" customHeight="1">
      <c r="A148" s="2" t="s">
        <v>589</v>
      </c>
      <c r="B148" s="2"/>
      <c r="C148" s="2"/>
      <c r="D148" s="2"/>
      <c r="F148" s="2"/>
      <c r="G148" s="2"/>
      <c r="H148" s="2"/>
      <c r="I148" s="2"/>
      <c r="J148" s="2"/>
      <c r="K148" s="2"/>
      <c r="L148" s="2"/>
    </row>
    <row r="149" spans="1:12" ht="15" customHeight="1">
      <c r="A149" s="331" t="s">
        <v>590</v>
      </c>
      <c r="B149" s="2"/>
      <c r="C149" s="2"/>
      <c r="D149" s="2"/>
      <c r="F149" s="2"/>
      <c r="G149" s="349">
        <f>+D16</f>
      </c>
      <c r="H149" s="2"/>
      <c r="I149" s="350"/>
      <c r="J149" s="2"/>
      <c r="K149" s="2"/>
      <c r="L149" s="2"/>
    </row>
    <row r="150" spans="1:12" ht="15" customHeight="1">
      <c r="A150" s="331" t="s">
        <v>591</v>
      </c>
      <c r="B150" s="2"/>
      <c r="C150" s="2"/>
      <c r="D150" s="2"/>
      <c r="G150" s="2">
        <v>1</v>
      </c>
      <c r="H150" s="2"/>
      <c r="I150" s="335" t="s">
        <v>592</v>
      </c>
      <c r="J150" s="351">
        <f>IF(G150=2,1.5,1)</f>
        <v>1</v>
      </c>
      <c r="K150" s="2"/>
      <c r="L150" s="2"/>
    </row>
    <row r="151" spans="1:12" ht="15" customHeight="1">
      <c r="A151" s="2" t="s">
        <v>593</v>
      </c>
      <c r="B151" s="2"/>
      <c r="C151" s="2"/>
      <c r="D151" s="2"/>
      <c r="G151" s="2">
        <f>+O19</f>
        <v>0</v>
      </c>
      <c r="H151" s="2"/>
      <c r="I151" s="340" t="s">
        <v>594</v>
      </c>
      <c r="J151" s="351">
        <f>IF(G151=2,1.2,1)</f>
        <v>1</v>
      </c>
      <c r="K151" s="2"/>
      <c r="L151" s="2"/>
    </row>
    <row r="152" spans="1:12" ht="15" customHeight="1">
      <c r="A152" s="2"/>
      <c r="B152" s="716" t="s">
        <v>576</v>
      </c>
      <c r="C152" s="2"/>
      <c r="D152" s="352" t="s">
        <v>595</v>
      </c>
      <c r="F152" s="353" t="s">
        <v>596</v>
      </c>
      <c r="H152" s="353" t="s">
        <v>597</v>
      </c>
      <c r="J152" s="167" t="s">
        <v>598</v>
      </c>
      <c r="K152" s="80"/>
      <c r="L152" s="2"/>
    </row>
    <row r="153" spans="1:11" ht="15" customHeight="1">
      <c r="A153" s="2"/>
      <c r="B153" s="716"/>
      <c r="C153" s="335" t="s">
        <v>599</v>
      </c>
      <c r="D153" s="335" t="s">
        <v>600</v>
      </c>
      <c r="F153" s="335" t="s">
        <v>601</v>
      </c>
      <c r="H153" s="335" t="s">
        <v>602</v>
      </c>
      <c r="J153" s="335" t="s">
        <v>603</v>
      </c>
      <c r="K153" s="340" t="s">
        <v>604</v>
      </c>
    </row>
    <row r="154" spans="1:11" ht="15" customHeight="1">
      <c r="A154" s="2" t="s">
        <v>214</v>
      </c>
      <c r="B154" s="351">
        <f>+C126</f>
      </c>
      <c r="C154" s="336" t="str">
        <f>J135</f>
        <v>*</v>
      </c>
      <c r="D154" s="354" t="str">
        <f>IF(B154="","*",+G149)</f>
        <v>*</v>
      </c>
      <c r="E154" s="167"/>
      <c r="F154" s="354" t="str">
        <f>IF(B154="","*",J150)</f>
        <v>*</v>
      </c>
      <c r="H154" s="354" t="str">
        <f>IF(B154="","*",H126)</f>
        <v>*</v>
      </c>
      <c r="J154" s="354" t="str">
        <f>IF(B154="","*",IF(G151=2,J151,1))</f>
        <v>*</v>
      </c>
      <c r="K154" s="336">
        <f>IF(OR(B154="",D154="",H154=0,E160="",D160=""),"",IF(C154="*","",B154*C154*D154*F154*H154*J154))</f>
      </c>
    </row>
    <row r="155" spans="1:11" ht="15" customHeight="1">
      <c r="A155" s="2" t="s">
        <v>211</v>
      </c>
      <c r="B155" s="351">
        <f>+C127</f>
      </c>
      <c r="C155" s="336" t="str">
        <f>J138</f>
        <v>*</v>
      </c>
      <c r="D155" s="354" t="str">
        <f>IF(B155="","*",+G149)</f>
        <v>*</v>
      </c>
      <c r="F155" s="354" t="str">
        <f>IF(B155="","*",J150)</f>
        <v>*</v>
      </c>
      <c r="H155" s="157">
        <f>IF(B154="",1,H127)</f>
        <v>1</v>
      </c>
      <c r="J155" s="354" t="str">
        <f>IF(B155="","*",IF(G151=2,J151,1))</f>
        <v>*</v>
      </c>
      <c r="K155" s="336">
        <f>IF(OR(B155="",D155=""),"",IF(C155="*","",IF(B155*C155*D155*F155*H155*J155=0,"",B155*C155*D155*F155*H155*J155)))</f>
      </c>
    </row>
    <row r="156" spans="1:11" ht="15" customHeight="1">
      <c r="A156" s="3" t="s">
        <v>212</v>
      </c>
      <c r="B156" s="168">
        <f>+C128</f>
      </c>
      <c r="C156" s="355" t="str">
        <f>IF(G151=2,0,J143)</f>
        <v>*</v>
      </c>
      <c r="D156" s="168" t="str">
        <f>IF(B156="","*",+G149)</f>
        <v>*</v>
      </c>
      <c r="F156" s="168" t="str">
        <f>IF(B156="","*",J150)</f>
        <v>*</v>
      </c>
      <c r="H156" s="61">
        <f>IF(B155="",1,H128)</f>
        <v>1</v>
      </c>
      <c r="J156" s="168" t="str">
        <f>IF(B156="","*",1)</f>
        <v>*</v>
      </c>
      <c r="K156" s="355">
        <f>IF(G151=2,"",IF(OR(B156="",D156=""),"",IF(C156="*","",IF(B156*C156*D156*F156*H156*J156=0,"",B156*C156*D156*F156*H156*J156))))</f>
      </c>
    </row>
    <row r="157" spans="1:11" ht="15" customHeight="1">
      <c r="A157" s="161" t="s">
        <v>605</v>
      </c>
      <c r="B157" s="161"/>
      <c r="C157" s="356"/>
      <c r="D157" s="356"/>
      <c r="E157" s="356"/>
      <c r="F157" s="784" t="s">
        <v>606</v>
      </c>
      <c r="G157" s="787"/>
      <c r="H157" s="788"/>
      <c r="I157" s="161"/>
      <c r="J157" s="161"/>
      <c r="K157" s="356" t="s">
        <v>309</v>
      </c>
    </row>
    <row r="158" spans="1:11" ht="15" customHeight="1">
      <c r="A158" s="356"/>
      <c r="B158" s="356"/>
      <c r="C158" s="500" t="s">
        <v>607</v>
      </c>
      <c r="D158" s="500" t="s">
        <v>608</v>
      </c>
      <c r="E158" s="500" t="s">
        <v>609</v>
      </c>
      <c r="F158" s="785"/>
      <c r="G158" s="782"/>
      <c r="H158" s="789"/>
      <c r="I158" s="787"/>
      <c r="J158" s="501" t="s">
        <v>610</v>
      </c>
      <c r="K158" s="783" t="s">
        <v>611</v>
      </c>
    </row>
    <row r="159" spans="1:11" ht="15" customHeight="1">
      <c r="A159" s="170" t="s">
        <v>612</v>
      </c>
      <c r="B159" s="170" t="s">
        <v>613</v>
      </c>
      <c r="C159" s="501"/>
      <c r="D159" s="501"/>
      <c r="E159" s="501"/>
      <c r="F159" s="786"/>
      <c r="G159" s="782"/>
      <c r="H159" s="790"/>
      <c r="I159" s="782"/>
      <c r="J159" s="782"/>
      <c r="K159" s="782"/>
    </row>
    <row r="160" spans="1:11" ht="15" customHeight="1">
      <c r="A160" s="356">
        <v>3</v>
      </c>
      <c r="B160" s="161" t="s">
        <v>614</v>
      </c>
      <c r="C160" s="162">
        <f aca="true" t="shared" si="2" ref="C160:C165">+D42</f>
        <v>0</v>
      </c>
      <c r="D160" s="162">
        <f aca="true" t="shared" si="3" ref="D160:D165">IF(E42="","",E42)</f>
      </c>
      <c r="E160" s="162">
        <f aca="true" t="shared" si="4" ref="E160:E165">+G42</f>
      </c>
      <c r="F160" s="169">
        <f>+K154</f>
      </c>
      <c r="G160" s="169"/>
      <c r="H160" s="357"/>
      <c r="I160" s="313"/>
      <c r="J160" s="313">
        <f>IF(OR(C160="",D160="",E160="",F160=""),"",C160*D160*E160)</f>
      </c>
      <c r="K160" s="313">
        <f>IF(OR(F160="",J160=""),"",+ROUNDDOWN(J160/F160,2))</f>
      </c>
    </row>
    <row r="161" spans="1:11" ht="15" customHeight="1">
      <c r="A161" s="170"/>
      <c r="B161" s="161" t="s">
        <v>615</v>
      </c>
      <c r="C161" s="162">
        <f t="shared" si="2"/>
        <v>0</v>
      </c>
      <c r="D161" s="162">
        <f t="shared" si="3"/>
      </c>
      <c r="E161" s="162">
        <f t="shared" si="4"/>
      </c>
      <c r="F161" s="169">
        <f>+K154</f>
      </c>
      <c r="G161" s="169"/>
      <c r="H161" s="357"/>
      <c r="I161" s="313"/>
      <c r="J161" s="313">
        <f>IF(OR(C161="",D161="",E161="",F161=""),"",C161*D161*E161)</f>
      </c>
      <c r="K161" s="313">
        <f>IF(OR(F161="",J161=""),"",+ROUNDDOWN(J161/F161,2))</f>
      </c>
    </row>
    <row r="162" spans="1:11" ht="15" customHeight="1">
      <c r="A162" s="356">
        <v>2</v>
      </c>
      <c r="B162" s="161" t="s">
        <v>616</v>
      </c>
      <c r="C162" s="162">
        <f t="shared" si="2"/>
        <v>0</v>
      </c>
      <c r="D162" s="162">
        <f t="shared" si="3"/>
      </c>
      <c r="E162" s="162">
        <f t="shared" si="4"/>
      </c>
      <c r="F162" s="169">
        <f>+K155</f>
      </c>
      <c r="G162" s="169"/>
      <c r="H162" s="357"/>
      <c r="I162" s="313"/>
      <c r="J162" s="313">
        <f>IF(OR(C162="",D162="",E162="",F162=""),"",+C162*D162*E162)</f>
      </c>
      <c r="K162" s="313">
        <f>IF(OR(J162="",F162=""),"",+ROUNDDOWN(J162/F162,2))</f>
      </c>
    </row>
    <row r="163" spans="1:11" ht="15" customHeight="1">
      <c r="A163" s="170"/>
      <c r="B163" s="161" t="s">
        <v>617</v>
      </c>
      <c r="C163" s="162">
        <f t="shared" si="2"/>
        <v>0</v>
      </c>
      <c r="D163" s="162">
        <f t="shared" si="3"/>
      </c>
      <c r="E163" s="162">
        <f t="shared" si="4"/>
      </c>
      <c r="F163" s="169">
        <f>+K155</f>
      </c>
      <c r="G163" s="169"/>
      <c r="H163" s="357"/>
      <c r="I163" s="313"/>
      <c r="J163" s="313">
        <f>IF(OR(C163="",D163="",E163="",F163=""),"",+C163*D163*E163)</f>
      </c>
      <c r="K163" s="313">
        <f>IF(OR(J163="",F163=""),"",+ROUNDDOWN(J163/F163,2))</f>
      </c>
    </row>
    <row r="164" spans="1:11" ht="15" customHeight="1">
      <c r="A164" s="356">
        <v>1</v>
      </c>
      <c r="B164" s="161" t="s">
        <v>618</v>
      </c>
      <c r="C164" s="162">
        <f t="shared" si="2"/>
        <v>0</v>
      </c>
      <c r="D164" s="162">
        <f t="shared" si="3"/>
      </c>
      <c r="E164" s="162">
        <f t="shared" si="4"/>
      </c>
      <c r="F164" s="357">
        <f>IF(G151=2,"",+K156)</f>
      </c>
      <c r="G164" s="169"/>
      <c r="H164" s="169"/>
      <c r="I164" s="313"/>
      <c r="J164" s="313">
        <f>IF(G151=2,"",IF(OR(C164="",D164="",E164="",F164=""),"",C164*D164*E164))</f>
      </c>
      <c r="K164" s="313">
        <f>IF(G151=2,"",IF(OR(F164="",J164=""),"",ROUNDDOWN(J164/F164,2)))</f>
      </c>
    </row>
    <row r="165" spans="1:11" ht="15" customHeight="1">
      <c r="A165" s="170"/>
      <c r="B165" s="161" t="s">
        <v>619</v>
      </c>
      <c r="C165" s="162">
        <f t="shared" si="2"/>
        <v>0</v>
      </c>
      <c r="D165" s="162">
        <f t="shared" si="3"/>
      </c>
      <c r="E165" s="162">
        <f t="shared" si="4"/>
      </c>
      <c r="F165" s="357">
        <f>+F164</f>
      </c>
      <c r="G165" s="169"/>
      <c r="H165" s="169"/>
      <c r="I165" s="313"/>
      <c r="J165" s="313">
        <f>IF(G151=2,"",IF(OR(C165="",D165="",E165="",F165=""),"",C165*D165*E165))</f>
      </c>
      <c r="K165" s="313">
        <f>IF(G151=2,"",IF(OR(F165="",J165=""),"",ROUNDDOWN(J165/F165,2)))</f>
      </c>
    </row>
  </sheetData>
  <sheetProtection sheet="1" formatCells="0" formatColumns="0" formatRows="0"/>
  <mergeCells count="113">
    <mergeCell ref="P6:W7"/>
    <mergeCell ref="G8:K8"/>
    <mergeCell ref="G9:K9"/>
    <mergeCell ref="A81:K82"/>
    <mergeCell ref="J46:J47"/>
    <mergeCell ref="D28:K28"/>
    <mergeCell ref="B44:B45"/>
    <mergeCell ref="J39:J41"/>
    <mergeCell ref="E42:F42"/>
    <mergeCell ref="V48:AF49"/>
    <mergeCell ref="O32:T33"/>
    <mergeCell ref="H39:I41"/>
    <mergeCell ref="H42:I42"/>
    <mergeCell ref="A15:C15"/>
    <mergeCell ref="B16:C16"/>
    <mergeCell ref="G39:G41"/>
    <mergeCell ref="B26:K26"/>
    <mergeCell ref="D32:K32"/>
    <mergeCell ref="B24:K24"/>
    <mergeCell ref="A18:K18"/>
    <mergeCell ref="J92:K92"/>
    <mergeCell ref="H91:I92"/>
    <mergeCell ref="J90:K90"/>
    <mergeCell ref="A76:K77"/>
    <mergeCell ref="F92:G92"/>
    <mergeCell ref="E89:E90"/>
    <mergeCell ref="F89:G89"/>
    <mergeCell ref="F90:G90"/>
    <mergeCell ref="J89:K89"/>
    <mergeCell ref="B90:C90"/>
    <mergeCell ref="A55:K57"/>
    <mergeCell ref="F91:G91"/>
    <mergeCell ref="D89:D90"/>
    <mergeCell ref="H47:I47"/>
    <mergeCell ref="H46:I46"/>
    <mergeCell ref="J91:K91"/>
    <mergeCell ref="H89:I89"/>
    <mergeCell ref="A64:K65"/>
    <mergeCell ref="A61:K63"/>
    <mergeCell ref="A48:K48"/>
    <mergeCell ref="A49:B49"/>
    <mergeCell ref="A4:D4"/>
    <mergeCell ref="B89:C89"/>
    <mergeCell ref="E45:F45"/>
    <mergeCell ref="A8:D8"/>
    <mergeCell ref="A46:A47"/>
    <mergeCell ref="A44:A45"/>
    <mergeCell ref="B46:B47"/>
    <mergeCell ref="B14:D14"/>
    <mergeCell ref="B17:C17"/>
    <mergeCell ref="H44:I44"/>
    <mergeCell ref="E44:F44"/>
    <mergeCell ref="B7:D7"/>
    <mergeCell ref="B6:D6"/>
    <mergeCell ref="G7:K7"/>
    <mergeCell ref="B5:D5"/>
    <mergeCell ref="F16:K16"/>
    <mergeCell ref="B9:D9"/>
    <mergeCell ref="B10:D10"/>
    <mergeCell ref="B13:D13"/>
    <mergeCell ref="H90:I90"/>
    <mergeCell ref="E46:F46"/>
    <mergeCell ref="H43:I43"/>
    <mergeCell ref="E43:F43"/>
    <mergeCell ref="B27:K27"/>
    <mergeCell ref="E49:K49"/>
    <mergeCell ref="A30:B30"/>
    <mergeCell ref="E47:F47"/>
    <mergeCell ref="J42:J43"/>
    <mergeCell ref="J44:J45"/>
    <mergeCell ref="J1:K1"/>
    <mergeCell ref="H2:K2"/>
    <mergeCell ref="F4:K4"/>
    <mergeCell ref="G5:K5"/>
    <mergeCell ref="G6:K6"/>
    <mergeCell ref="J11:J12"/>
    <mergeCell ref="K11:K12"/>
    <mergeCell ref="A12:D12"/>
    <mergeCell ref="B11:D11"/>
    <mergeCell ref="I11:I12"/>
    <mergeCell ref="G11:G12"/>
    <mergeCell ref="H11:H12"/>
    <mergeCell ref="B20:K20"/>
    <mergeCell ref="B23:K23"/>
    <mergeCell ref="A29:B29"/>
    <mergeCell ref="B22:K22"/>
    <mergeCell ref="B25:K25"/>
    <mergeCell ref="B19:K19"/>
    <mergeCell ref="B39:B41"/>
    <mergeCell ref="K40:K41"/>
    <mergeCell ref="B21:K21"/>
    <mergeCell ref="E39:F41"/>
    <mergeCell ref="A31:B33"/>
    <mergeCell ref="H45:I45"/>
    <mergeCell ref="A34:B36"/>
    <mergeCell ref="A42:A43"/>
    <mergeCell ref="D39:D40"/>
    <mergeCell ref="B42:B43"/>
    <mergeCell ref="E158:E159"/>
    <mergeCell ref="A143:B143"/>
    <mergeCell ref="B121:K122"/>
    <mergeCell ref="B140:C140"/>
    <mergeCell ref="A146:K147"/>
    <mergeCell ref="E50:F50"/>
    <mergeCell ref="J158:J159"/>
    <mergeCell ref="K158:K159"/>
    <mergeCell ref="B152:B153"/>
    <mergeCell ref="F157:F159"/>
    <mergeCell ref="G157:G159"/>
    <mergeCell ref="H157:H159"/>
    <mergeCell ref="C158:C159"/>
    <mergeCell ref="D158:D159"/>
    <mergeCell ref="I158:I159"/>
  </mergeCells>
  <printOptions/>
  <pageMargins left="0.984251968503937" right="0.5905511811023623" top="0.5905511811023623" bottom="0.5905511811023623" header="0.31496062992125984" footer="0.31496062992125984"/>
  <pageSetup horizontalDpi="300" verticalDpi="300" orientation="portrait" paperSize="9" r:id="rId2"/>
  <rowBreaks count="1" manualBreakCount="1">
    <brk id="50" max="10" man="1"/>
  </rowBreaks>
  <legacyDrawing r:id="rId1"/>
</worksheet>
</file>

<file path=xl/worksheets/sheet5.xml><?xml version="1.0" encoding="utf-8"?>
<worksheet xmlns="http://schemas.openxmlformats.org/spreadsheetml/2006/main" xmlns:r="http://schemas.openxmlformats.org/officeDocument/2006/relationships">
  <dimension ref="A1:O93"/>
  <sheetViews>
    <sheetView zoomScalePageLayoutView="0" workbookViewId="0" topLeftCell="A1">
      <selection activeCell="B5" sqref="B5"/>
    </sheetView>
  </sheetViews>
  <sheetFormatPr defaultColWidth="5.77734375" defaultRowHeight="15" customHeight="1"/>
  <cols>
    <col min="1" max="16384" width="5.77734375" style="3" customWidth="1"/>
  </cols>
  <sheetData>
    <row r="1" spans="1:15" ht="15" customHeight="1">
      <c r="A1" s="409" t="s">
        <v>516</v>
      </c>
      <c r="B1" s="29"/>
      <c r="C1" s="29"/>
      <c r="D1" s="29"/>
      <c r="E1" s="29"/>
      <c r="F1" s="29"/>
      <c r="G1" s="29"/>
      <c r="H1" s="472">
        <f>+IF('表紙'!I5=0,"",'表紙'!I5)</f>
      </c>
      <c r="I1" s="473"/>
      <c r="J1" s="473"/>
      <c r="K1" s="474"/>
      <c r="M1" s="76"/>
      <c r="N1" s="94"/>
      <c r="O1" s="76"/>
    </row>
    <row r="2" spans="1:13" ht="15" customHeight="1">
      <c r="A2" s="29"/>
      <c r="B2" s="29"/>
      <c r="C2" s="29"/>
      <c r="D2" s="29"/>
      <c r="E2" s="29"/>
      <c r="F2" s="29"/>
      <c r="G2" s="29"/>
      <c r="L2" s="29"/>
      <c r="M2" s="29"/>
    </row>
    <row r="3" spans="1:13" ht="15" customHeight="1">
      <c r="A3" s="29"/>
      <c r="L3" s="29"/>
      <c r="M3" s="29"/>
    </row>
    <row r="4" spans="1:15" ht="15" customHeight="1">
      <c r="A4" s="29"/>
      <c r="L4" s="29"/>
      <c r="M4" s="29"/>
      <c r="O4" s="3" t="s">
        <v>169</v>
      </c>
    </row>
    <row r="5" spans="1:15" ht="15" customHeight="1">
      <c r="A5" s="95"/>
      <c r="B5" s="154"/>
      <c r="C5" s="108"/>
      <c r="D5" s="108"/>
      <c r="E5" s="108"/>
      <c r="F5" s="108"/>
      <c r="G5" s="108"/>
      <c r="H5" s="108"/>
      <c r="I5" s="108"/>
      <c r="J5" s="108"/>
      <c r="K5" s="86"/>
      <c r="L5" s="124"/>
      <c r="M5" s="29"/>
      <c r="O5" s="3" t="s">
        <v>520</v>
      </c>
    </row>
    <row r="6" spans="1:13" ht="15" customHeight="1">
      <c r="A6" s="29"/>
      <c r="B6" s="86"/>
      <c r="C6" s="29"/>
      <c r="D6" s="29"/>
      <c r="E6" s="123"/>
      <c r="F6" s="123"/>
      <c r="G6" s="123"/>
      <c r="H6" s="123"/>
      <c r="I6" s="124"/>
      <c r="J6" s="124"/>
      <c r="K6" s="135"/>
      <c r="L6" s="95"/>
      <c r="M6" s="29"/>
    </row>
    <row r="7" spans="1:13" ht="15" customHeight="1">
      <c r="A7" s="29"/>
      <c r="B7" s="96"/>
      <c r="C7" s="95"/>
      <c r="D7" s="95"/>
      <c r="E7" s="95"/>
      <c r="F7" s="29"/>
      <c r="G7" s="29"/>
      <c r="H7" s="95"/>
      <c r="I7" s="95"/>
      <c r="J7" s="95"/>
      <c r="K7" s="96"/>
      <c r="L7" s="29"/>
      <c r="M7" s="29"/>
    </row>
    <row r="8" spans="1:13" ht="15" customHeight="1">
      <c r="A8" s="29"/>
      <c r="B8" s="86"/>
      <c r="C8" s="29"/>
      <c r="D8" s="29"/>
      <c r="E8" s="29"/>
      <c r="F8" s="91"/>
      <c r="G8" s="91"/>
      <c r="H8" s="29"/>
      <c r="I8" s="91"/>
      <c r="J8" s="29"/>
      <c r="K8" s="136"/>
      <c r="L8" s="29"/>
      <c r="M8" s="29"/>
    </row>
    <row r="9" spans="1:13" ht="15" customHeight="1">
      <c r="A9" s="29"/>
      <c r="B9" s="86"/>
      <c r="C9" s="29"/>
      <c r="D9" s="29"/>
      <c r="E9" s="29"/>
      <c r="F9" s="29"/>
      <c r="G9" s="29"/>
      <c r="H9" s="29"/>
      <c r="I9" s="29"/>
      <c r="J9" s="29"/>
      <c r="K9" s="86"/>
      <c r="L9" s="29"/>
      <c r="M9" s="29"/>
    </row>
    <row r="10" spans="1:13" ht="15" customHeight="1">
      <c r="A10" s="29"/>
      <c r="B10" s="86"/>
      <c r="C10" s="29"/>
      <c r="D10" s="29"/>
      <c r="E10" s="29"/>
      <c r="F10" s="29"/>
      <c r="G10" s="29"/>
      <c r="H10" s="29"/>
      <c r="I10" s="29"/>
      <c r="J10" s="29"/>
      <c r="K10" s="86"/>
      <c r="L10" s="29"/>
      <c r="M10" s="29"/>
    </row>
    <row r="11" spans="1:13" ht="15" customHeight="1">
      <c r="A11" s="29"/>
      <c r="B11" s="86"/>
      <c r="C11" s="29"/>
      <c r="D11" s="29"/>
      <c r="E11" s="29"/>
      <c r="F11" s="29"/>
      <c r="G11" s="29"/>
      <c r="H11" s="29"/>
      <c r="I11" s="29"/>
      <c r="J11" s="29"/>
      <c r="K11" s="86"/>
      <c r="L11" s="29"/>
      <c r="M11" s="29"/>
    </row>
    <row r="12" spans="1:13" ht="15" customHeight="1">
      <c r="A12" s="29"/>
      <c r="B12" s="86"/>
      <c r="C12" s="29"/>
      <c r="D12" s="29"/>
      <c r="E12" s="29" t="s">
        <v>518</v>
      </c>
      <c r="G12" s="29"/>
      <c r="H12" s="29"/>
      <c r="I12" s="29"/>
      <c r="J12" s="29"/>
      <c r="K12" s="86"/>
      <c r="L12" s="29"/>
      <c r="M12" s="29"/>
    </row>
    <row r="13" spans="1:13" ht="15" customHeight="1">
      <c r="A13" s="29"/>
      <c r="B13" s="86"/>
      <c r="C13" s="29"/>
      <c r="D13" s="29"/>
      <c r="E13" s="29"/>
      <c r="F13" s="29"/>
      <c r="G13" s="29"/>
      <c r="H13" s="29"/>
      <c r="I13" s="29"/>
      <c r="J13" s="29"/>
      <c r="K13" s="86"/>
      <c r="L13" s="29"/>
      <c r="M13" s="29"/>
    </row>
    <row r="14" spans="1:13" ht="15" customHeight="1">
      <c r="A14" s="29"/>
      <c r="B14" s="86"/>
      <c r="C14" s="29"/>
      <c r="D14" s="29"/>
      <c r="E14" s="29"/>
      <c r="F14" s="29"/>
      <c r="G14" s="29"/>
      <c r="H14" s="29"/>
      <c r="I14" s="29"/>
      <c r="J14" s="29"/>
      <c r="K14" s="86"/>
      <c r="L14" s="29"/>
      <c r="M14" s="29"/>
    </row>
    <row r="15" spans="1:13" ht="15" customHeight="1">
      <c r="A15" s="29"/>
      <c r="B15" s="86"/>
      <c r="C15" s="29"/>
      <c r="D15" s="29"/>
      <c r="E15" s="29"/>
      <c r="F15" s="29"/>
      <c r="G15" s="29"/>
      <c r="H15" s="29"/>
      <c r="I15" s="29"/>
      <c r="J15" s="29"/>
      <c r="K15" s="86"/>
      <c r="L15" s="29"/>
      <c r="M15" s="29"/>
    </row>
    <row r="16" spans="1:13" ht="15" customHeight="1">
      <c r="A16" s="29"/>
      <c r="B16" s="86"/>
      <c r="C16" s="29"/>
      <c r="D16" s="29"/>
      <c r="E16" s="29"/>
      <c r="F16" s="29"/>
      <c r="G16" s="29"/>
      <c r="H16" s="29"/>
      <c r="I16" s="29"/>
      <c r="J16" s="29"/>
      <c r="K16" s="86"/>
      <c r="L16" s="29"/>
      <c r="M16" s="29"/>
    </row>
    <row r="17" spans="1:13" ht="15" customHeight="1">
      <c r="A17" s="29"/>
      <c r="B17" s="86"/>
      <c r="C17" s="29"/>
      <c r="D17" s="29"/>
      <c r="E17" s="29"/>
      <c r="F17" s="29"/>
      <c r="G17" s="29"/>
      <c r="H17" s="29"/>
      <c r="I17" s="29"/>
      <c r="J17" s="29"/>
      <c r="K17" s="86"/>
      <c r="L17" s="29"/>
      <c r="M17" s="29"/>
    </row>
    <row r="18" spans="1:13" ht="15" customHeight="1">
      <c r="A18" s="29"/>
      <c r="B18" s="86"/>
      <c r="C18" s="29"/>
      <c r="D18" s="29"/>
      <c r="E18" s="29"/>
      <c r="F18" s="29"/>
      <c r="G18" s="29"/>
      <c r="H18" s="29"/>
      <c r="I18" s="29"/>
      <c r="J18" s="29"/>
      <c r="K18" s="86"/>
      <c r="L18" s="29"/>
      <c r="M18" s="29"/>
    </row>
    <row r="19" spans="1:13" ht="15" customHeight="1">
      <c r="A19" s="29"/>
      <c r="B19" s="86"/>
      <c r="C19" s="29"/>
      <c r="D19" s="29"/>
      <c r="E19" s="29"/>
      <c r="F19" s="29"/>
      <c r="G19" s="29"/>
      <c r="H19" s="29"/>
      <c r="I19" s="29"/>
      <c r="J19" s="29"/>
      <c r="K19" s="86"/>
      <c r="L19" s="29"/>
      <c r="M19" s="29"/>
    </row>
    <row r="20" spans="1:13" ht="15" customHeight="1">
      <c r="A20" s="29"/>
      <c r="B20" s="86"/>
      <c r="C20" s="29"/>
      <c r="D20" s="29"/>
      <c r="E20" s="29"/>
      <c r="F20" s="29"/>
      <c r="G20" s="29"/>
      <c r="H20" s="29"/>
      <c r="I20" s="29"/>
      <c r="J20" s="29"/>
      <c r="K20" s="86"/>
      <c r="L20" s="29"/>
      <c r="M20" s="29"/>
    </row>
    <row r="21" spans="1:13" ht="15" customHeight="1">
      <c r="A21" s="29"/>
      <c r="B21" s="54"/>
      <c r="C21" s="30"/>
      <c r="D21" s="30"/>
      <c r="E21" s="30"/>
      <c r="F21" s="30"/>
      <c r="G21" s="30"/>
      <c r="H21" s="30"/>
      <c r="I21" s="30"/>
      <c r="J21" s="30"/>
      <c r="K21" s="86"/>
      <c r="L21" s="29"/>
      <c r="M21" s="29"/>
    </row>
    <row r="22" spans="1:13" ht="15" customHeight="1">
      <c r="A22" s="29"/>
      <c r="B22" s="29"/>
      <c r="C22" s="29"/>
      <c r="D22" s="29"/>
      <c r="E22" s="29"/>
      <c r="F22" s="29"/>
      <c r="G22" s="29"/>
      <c r="H22" s="29"/>
      <c r="I22" s="29"/>
      <c r="J22" s="29"/>
      <c r="K22" s="29"/>
      <c r="L22" s="29"/>
      <c r="M22" s="29"/>
    </row>
    <row r="23" spans="1:13" ht="15" customHeight="1">
      <c r="A23" s="29"/>
      <c r="B23" s="29"/>
      <c r="C23" s="29"/>
      <c r="D23" s="29"/>
      <c r="E23" s="29"/>
      <c r="F23" s="29"/>
      <c r="G23" s="29"/>
      <c r="H23" s="29"/>
      <c r="I23" s="29"/>
      <c r="J23" s="29"/>
      <c r="K23" s="29"/>
      <c r="L23" s="29"/>
      <c r="M23" s="29"/>
    </row>
    <row r="24" spans="1:13" ht="15" customHeight="1">
      <c r="A24" s="29"/>
      <c r="B24" s="29"/>
      <c r="C24" s="29"/>
      <c r="D24" s="29"/>
      <c r="E24" s="29"/>
      <c r="F24" s="29"/>
      <c r="G24" s="29"/>
      <c r="H24" s="29"/>
      <c r="I24" s="29"/>
      <c r="J24" s="29"/>
      <c r="K24" s="29"/>
      <c r="L24" s="29"/>
      <c r="M24" s="29"/>
    </row>
    <row r="25" spans="1:13" ht="15" customHeight="1">
      <c r="A25" s="29"/>
      <c r="B25" s="29"/>
      <c r="C25" s="29"/>
      <c r="D25" s="29"/>
      <c r="E25" s="29"/>
      <c r="F25" s="95"/>
      <c r="G25" s="95"/>
      <c r="H25" s="95"/>
      <c r="I25" s="95"/>
      <c r="J25" s="29"/>
      <c r="K25" s="29"/>
      <c r="L25" s="29"/>
      <c r="M25" s="29"/>
    </row>
    <row r="26" spans="1:13" ht="15" customHeight="1">
      <c r="A26" s="29"/>
      <c r="K26" s="29"/>
      <c r="L26" s="29"/>
      <c r="M26" s="29"/>
    </row>
    <row r="27" spans="1:13" ht="15" customHeight="1">
      <c r="A27" s="29"/>
      <c r="B27" s="154"/>
      <c r="C27" s="108"/>
      <c r="D27" s="108"/>
      <c r="E27" s="108"/>
      <c r="F27" s="108"/>
      <c r="G27" s="108"/>
      <c r="H27" s="108"/>
      <c r="I27" s="108"/>
      <c r="J27" s="137"/>
      <c r="K27" s="124"/>
      <c r="L27" s="29"/>
      <c r="M27" s="29"/>
    </row>
    <row r="28" spans="1:13" ht="15" customHeight="1">
      <c r="A28" s="29"/>
      <c r="B28" s="86"/>
      <c r="C28" s="29"/>
      <c r="D28" s="29"/>
      <c r="E28" s="123"/>
      <c r="F28" s="123"/>
      <c r="G28" s="123"/>
      <c r="H28" s="123"/>
      <c r="I28" s="124"/>
      <c r="J28" s="138"/>
      <c r="K28" s="95"/>
      <c r="L28" s="29"/>
      <c r="M28" s="29"/>
    </row>
    <row r="29" spans="1:13" ht="15" customHeight="1">
      <c r="A29" s="29"/>
      <c r="B29" s="96"/>
      <c r="C29" s="95"/>
      <c r="D29" s="95"/>
      <c r="E29" s="95"/>
      <c r="F29" s="29"/>
      <c r="G29" s="29"/>
      <c r="H29" s="95"/>
      <c r="I29" s="95"/>
      <c r="J29" s="139"/>
      <c r="K29" s="91"/>
      <c r="L29" s="29"/>
      <c r="M29" s="29"/>
    </row>
    <row r="30" spans="1:13" ht="15" customHeight="1">
      <c r="A30" s="29"/>
      <c r="B30" s="86"/>
      <c r="C30" s="29"/>
      <c r="D30" s="29"/>
      <c r="E30" s="29"/>
      <c r="F30" s="91"/>
      <c r="G30" s="91"/>
      <c r="H30" s="29"/>
      <c r="I30" s="91"/>
      <c r="J30" s="140"/>
      <c r="K30" s="29"/>
      <c r="L30" s="29"/>
      <c r="M30" s="29"/>
    </row>
    <row r="31" spans="1:13" ht="15" customHeight="1">
      <c r="A31" s="29"/>
      <c r="B31" s="86"/>
      <c r="C31" s="29"/>
      <c r="D31" s="29"/>
      <c r="E31" s="29"/>
      <c r="F31" s="29"/>
      <c r="G31" s="29"/>
      <c r="H31" s="29"/>
      <c r="I31" s="29"/>
      <c r="J31" s="140"/>
      <c r="K31" s="29"/>
      <c r="L31" s="29"/>
      <c r="M31" s="29"/>
    </row>
    <row r="32" spans="1:13" ht="15" customHeight="1">
      <c r="A32" s="29"/>
      <c r="B32" s="86"/>
      <c r="C32" s="29"/>
      <c r="D32" s="29"/>
      <c r="E32" s="29"/>
      <c r="F32" s="29"/>
      <c r="G32" s="29"/>
      <c r="H32" s="29"/>
      <c r="I32" s="29"/>
      <c r="J32" s="140"/>
      <c r="K32" s="29"/>
      <c r="L32" s="29"/>
      <c r="M32" s="29"/>
    </row>
    <row r="33" spans="1:13" ht="15" customHeight="1">
      <c r="A33" s="29"/>
      <c r="B33" s="86"/>
      <c r="C33" s="29"/>
      <c r="D33" s="29"/>
      <c r="E33" s="29"/>
      <c r="F33" s="29"/>
      <c r="G33" s="29"/>
      <c r="H33" s="29"/>
      <c r="I33" s="29"/>
      <c r="J33" s="140"/>
      <c r="K33" s="29"/>
      <c r="L33" s="29"/>
      <c r="M33" s="29"/>
    </row>
    <row r="34" spans="1:13" ht="15" customHeight="1">
      <c r="A34" s="29"/>
      <c r="B34" s="86"/>
      <c r="C34" s="29"/>
      <c r="D34" s="29"/>
      <c r="E34" s="29" t="s">
        <v>519</v>
      </c>
      <c r="F34" s="29"/>
      <c r="G34" s="29"/>
      <c r="H34" s="29"/>
      <c r="I34" s="29"/>
      <c r="J34" s="140"/>
      <c r="K34" s="29"/>
      <c r="L34" s="29"/>
      <c r="M34" s="29"/>
    </row>
    <row r="35" spans="1:13" ht="15" customHeight="1">
      <c r="A35" s="29"/>
      <c r="B35" s="86"/>
      <c r="C35" s="29"/>
      <c r="D35" s="29"/>
      <c r="E35" s="29"/>
      <c r="F35" s="29"/>
      <c r="G35" s="29"/>
      <c r="H35" s="29"/>
      <c r="I35" s="29"/>
      <c r="J35" s="140"/>
      <c r="K35" s="29"/>
      <c r="L35" s="29"/>
      <c r="M35" s="29"/>
    </row>
    <row r="36" spans="1:13" ht="15" customHeight="1">
      <c r="A36" s="29"/>
      <c r="B36" s="86"/>
      <c r="C36" s="29"/>
      <c r="D36" s="29"/>
      <c r="E36" s="29"/>
      <c r="F36" s="29"/>
      <c r="G36" s="29"/>
      <c r="H36" s="29"/>
      <c r="I36" s="29"/>
      <c r="J36" s="140"/>
      <c r="K36" s="29"/>
      <c r="L36" s="29"/>
      <c r="M36" s="29"/>
    </row>
    <row r="37" spans="1:13" ht="15" customHeight="1">
      <c r="A37" s="29"/>
      <c r="B37" s="86"/>
      <c r="C37" s="29"/>
      <c r="D37" s="29"/>
      <c r="E37" s="29"/>
      <c r="F37" s="29"/>
      <c r="G37" s="29"/>
      <c r="H37" s="29"/>
      <c r="I37" s="29"/>
      <c r="J37" s="140"/>
      <c r="K37" s="29"/>
      <c r="L37" s="29"/>
      <c r="M37" s="29"/>
    </row>
    <row r="38" spans="1:13" ht="15" customHeight="1">
      <c r="A38" s="29"/>
      <c r="B38" s="86"/>
      <c r="C38" s="29"/>
      <c r="D38" s="29"/>
      <c r="E38" s="29"/>
      <c r="F38" s="29"/>
      <c r="G38" s="29"/>
      <c r="H38" s="29"/>
      <c r="I38" s="29"/>
      <c r="J38" s="140"/>
      <c r="K38" s="29"/>
      <c r="L38" s="29"/>
      <c r="M38" s="29"/>
    </row>
    <row r="39" spans="1:13" ht="15" customHeight="1">
      <c r="A39" s="29"/>
      <c r="B39" s="86"/>
      <c r="C39" s="29"/>
      <c r="D39" s="29"/>
      <c r="E39" s="29"/>
      <c r="F39" s="29"/>
      <c r="G39" s="29"/>
      <c r="H39" s="29"/>
      <c r="I39" s="29"/>
      <c r="J39" s="140"/>
      <c r="K39" s="29"/>
      <c r="L39" s="29"/>
      <c r="M39" s="29"/>
    </row>
    <row r="40" spans="1:13" ht="15" customHeight="1">
      <c r="A40" s="29"/>
      <c r="B40" s="86"/>
      <c r="C40" s="29"/>
      <c r="D40" s="29"/>
      <c r="E40" s="29"/>
      <c r="F40" s="29"/>
      <c r="G40" s="29"/>
      <c r="H40" s="29"/>
      <c r="I40" s="29"/>
      <c r="J40" s="140"/>
      <c r="K40" s="29"/>
      <c r="L40" s="29"/>
      <c r="M40" s="29"/>
    </row>
    <row r="41" spans="1:13" ht="15" customHeight="1">
      <c r="A41" s="29"/>
      <c r="B41" s="86"/>
      <c r="C41" s="29"/>
      <c r="D41" s="29"/>
      <c r="E41" s="29"/>
      <c r="F41" s="29"/>
      <c r="G41" s="29"/>
      <c r="H41" s="29"/>
      <c r="I41" s="29"/>
      <c r="J41" s="140"/>
      <c r="K41" s="29"/>
      <c r="L41" s="29"/>
      <c r="M41" s="29"/>
    </row>
    <row r="42" spans="1:13" ht="15" customHeight="1">
      <c r="A42" s="29"/>
      <c r="B42" s="86"/>
      <c r="C42" s="29"/>
      <c r="D42" s="29"/>
      <c r="E42" s="29"/>
      <c r="F42" s="29"/>
      <c r="G42" s="29"/>
      <c r="H42" s="29"/>
      <c r="I42" s="29"/>
      <c r="J42" s="140"/>
      <c r="K42" s="29"/>
      <c r="L42" s="122"/>
      <c r="M42" s="29"/>
    </row>
    <row r="43" spans="1:13" ht="15" customHeight="1">
      <c r="A43" s="29"/>
      <c r="B43" s="54"/>
      <c r="C43" s="30"/>
      <c r="D43" s="30"/>
      <c r="E43" s="30"/>
      <c r="F43" s="30"/>
      <c r="G43" s="30"/>
      <c r="H43" s="30"/>
      <c r="I43" s="30"/>
      <c r="J43" s="114"/>
      <c r="K43" s="91"/>
      <c r="L43" s="29"/>
      <c r="M43" s="29"/>
    </row>
    <row r="44" spans="1:13" ht="15" customHeight="1">
      <c r="A44" s="29"/>
      <c r="B44" s="29"/>
      <c r="C44" s="29"/>
      <c r="D44" s="29"/>
      <c r="E44" s="121"/>
      <c r="F44" s="121"/>
      <c r="G44" s="91"/>
      <c r="H44" s="91"/>
      <c r="I44" s="91"/>
      <c r="J44" s="91"/>
      <c r="K44" s="91"/>
      <c r="L44" s="29"/>
      <c r="M44" s="29"/>
    </row>
    <row r="45" spans="1:13" ht="15" customHeight="1">
      <c r="A45" s="29"/>
      <c r="B45" s="29"/>
      <c r="C45" s="29"/>
      <c r="D45" s="29"/>
      <c r="E45" s="121"/>
      <c r="F45" s="121"/>
      <c r="G45" s="91"/>
      <c r="H45" s="91"/>
      <c r="I45" s="91"/>
      <c r="J45" s="91"/>
      <c r="K45" s="91"/>
      <c r="L45" s="29"/>
      <c r="M45" s="29"/>
    </row>
    <row r="46" spans="1:11" ht="15" customHeight="1">
      <c r="A46" s="29"/>
      <c r="B46" s="29"/>
      <c r="C46" s="29"/>
      <c r="D46" s="29" t="s">
        <v>521</v>
      </c>
      <c r="E46" s="29"/>
      <c r="F46" s="29"/>
      <c r="G46" s="91"/>
      <c r="H46" s="91"/>
      <c r="I46" s="91"/>
      <c r="J46" s="91"/>
      <c r="K46" s="91"/>
    </row>
    <row r="48" spans="1:11" ht="15" customHeight="1">
      <c r="A48" s="144" t="s">
        <v>517</v>
      </c>
      <c r="B48" s="29"/>
      <c r="C48" s="29"/>
      <c r="D48" s="29"/>
      <c r="E48" s="29"/>
      <c r="F48" s="29"/>
      <c r="G48" s="29"/>
      <c r="H48" s="472">
        <f>+IF('表紙'!I5=0,"",'表紙'!I5)</f>
      </c>
      <c r="I48" s="473"/>
      <c r="J48" s="473"/>
      <c r="K48" s="474"/>
    </row>
    <row r="49" spans="1:7" ht="15" customHeight="1">
      <c r="A49" s="29"/>
      <c r="B49" s="29"/>
      <c r="C49" s="29"/>
      <c r="D49" s="29"/>
      <c r="E49" s="29"/>
      <c r="F49" s="29"/>
      <c r="G49" s="29"/>
    </row>
    <row r="50" ht="15" customHeight="1">
      <c r="A50" s="29"/>
    </row>
    <row r="51" ht="15" customHeight="1">
      <c r="A51" s="29"/>
    </row>
    <row r="52" spans="1:11" ht="15" customHeight="1">
      <c r="A52" s="95"/>
      <c r="B52" s="154"/>
      <c r="C52" s="108"/>
      <c r="D52" s="108"/>
      <c r="E52" s="108"/>
      <c r="F52" s="108"/>
      <c r="G52" s="108"/>
      <c r="H52" s="108"/>
      <c r="I52" s="108"/>
      <c r="J52" s="108"/>
      <c r="K52" s="86"/>
    </row>
    <row r="53" spans="1:11" ht="15" customHeight="1">
      <c r="A53" s="29"/>
      <c r="B53" s="86"/>
      <c r="C53" s="29"/>
      <c r="D53" s="29"/>
      <c r="E53" s="123"/>
      <c r="F53" s="123"/>
      <c r="G53" s="123"/>
      <c r="H53" s="123"/>
      <c r="I53" s="124"/>
      <c r="J53" s="124"/>
      <c r="K53" s="135"/>
    </row>
    <row r="54" spans="1:11" ht="15" customHeight="1">
      <c r="A54" s="29"/>
      <c r="B54" s="96"/>
      <c r="C54" s="95"/>
      <c r="D54" s="95"/>
      <c r="E54" s="95"/>
      <c r="F54" s="29"/>
      <c r="G54" s="29"/>
      <c r="H54" s="95"/>
      <c r="I54" s="95"/>
      <c r="J54" s="95"/>
      <c r="K54" s="96"/>
    </row>
    <row r="55" spans="1:11" ht="15" customHeight="1">
      <c r="A55" s="29"/>
      <c r="B55" s="86"/>
      <c r="C55" s="29"/>
      <c r="D55" s="29"/>
      <c r="E55" s="29"/>
      <c r="F55" s="91"/>
      <c r="G55" s="91"/>
      <c r="H55" s="29"/>
      <c r="I55" s="91"/>
      <c r="J55" s="29"/>
      <c r="K55" s="136"/>
    </row>
    <row r="56" spans="1:11" ht="15" customHeight="1">
      <c r="A56" s="29"/>
      <c r="B56" s="86"/>
      <c r="C56" s="29"/>
      <c r="D56" s="29"/>
      <c r="E56" s="29"/>
      <c r="F56" s="29"/>
      <c r="G56" s="29"/>
      <c r="H56" s="29"/>
      <c r="I56" s="29"/>
      <c r="J56" s="29"/>
      <c r="K56" s="86"/>
    </row>
    <row r="57" spans="1:11" ht="15" customHeight="1">
      <c r="A57" s="29"/>
      <c r="B57" s="86"/>
      <c r="C57" s="29"/>
      <c r="D57" s="29"/>
      <c r="E57" s="29"/>
      <c r="F57" s="29"/>
      <c r="G57" s="29"/>
      <c r="H57" s="29"/>
      <c r="I57" s="29"/>
      <c r="J57" s="29"/>
      <c r="K57" s="86"/>
    </row>
    <row r="58" spans="1:11" ht="15" customHeight="1">
      <c r="A58" s="29"/>
      <c r="B58" s="86"/>
      <c r="C58" s="29"/>
      <c r="D58" s="29"/>
      <c r="E58" s="29"/>
      <c r="F58" s="29"/>
      <c r="G58" s="29"/>
      <c r="H58" s="29"/>
      <c r="I58" s="29"/>
      <c r="J58" s="29"/>
      <c r="K58" s="86"/>
    </row>
    <row r="59" spans="1:11" ht="15" customHeight="1">
      <c r="A59" s="29"/>
      <c r="B59" s="86"/>
      <c r="C59" s="29"/>
      <c r="D59" s="29"/>
      <c r="E59" s="29"/>
      <c r="F59" s="29" t="s">
        <v>126</v>
      </c>
      <c r="G59" s="29"/>
      <c r="H59" s="29"/>
      <c r="I59" s="29"/>
      <c r="J59" s="29"/>
      <c r="K59" s="86"/>
    </row>
    <row r="60" spans="1:11" ht="15" customHeight="1">
      <c r="A60" s="29"/>
      <c r="B60" s="86"/>
      <c r="C60" s="29"/>
      <c r="D60" s="29"/>
      <c r="E60" s="29"/>
      <c r="F60" s="29"/>
      <c r="G60" s="29"/>
      <c r="H60" s="29"/>
      <c r="I60" s="29"/>
      <c r="J60" s="29"/>
      <c r="K60" s="86"/>
    </row>
    <row r="61" spans="1:11" ht="15" customHeight="1">
      <c r="A61" s="29"/>
      <c r="B61" s="86"/>
      <c r="C61" s="29"/>
      <c r="D61" s="29"/>
      <c r="E61" s="29"/>
      <c r="F61" s="29"/>
      <c r="G61" s="29"/>
      <c r="H61" s="29"/>
      <c r="I61" s="29"/>
      <c r="J61" s="29"/>
      <c r="K61" s="86"/>
    </row>
    <row r="62" spans="1:11" ht="15" customHeight="1">
      <c r="A62" s="29"/>
      <c r="B62" s="86"/>
      <c r="C62" s="29"/>
      <c r="D62" s="29"/>
      <c r="E62" s="29"/>
      <c r="F62" s="29"/>
      <c r="G62" s="29"/>
      <c r="H62" s="29"/>
      <c r="I62" s="29"/>
      <c r="J62" s="29"/>
      <c r="K62" s="86"/>
    </row>
    <row r="63" spans="1:11" ht="15" customHeight="1">
      <c r="A63" s="29"/>
      <c r="B63" s="86"/>
      <c r="C63" s="29"/>
      <c r="D63" s="29"/>
      <c r="E63" s="29"/>
      <c r="F63" s="29"/>
      <c r="G63" s="29"/>
      <c r="H63" s="29"/>
      <c r="I63" s="29"/>
      <c r="J63" s="29"/>
      <c r="K63" s="86"/>
    </row>
    <row r="64" spans="1:11" ht="15" customHeight="1">
      <c r="A64" s="29"/>
      <c r="B64" s="86"/>
      <c r="C64" s="29"/>
      <c r="D64" s="29"/>
      <c r="E64" s="29"/>
      <c r="F64" s="29"/>
      <c r="G64" s="29"/>
      <c r="H64" s="29"/>
      <c r="I64" s="29"/>
      <c r="J64" s="29"/>
      <c r="K64" s="86"/>
    </row>
    <row r="65" spans="1:11" ht="15" customHeight="1">
      <c r="A65" s="29"/>
      <c r="B65" s="86"/>
      <c r="C65" s="29"/>
      <c r="D65" s="29"/>
      <c r="E65" s="29"/>
      <c r="F65" s="29"/>
      <c r="G65" s="29"/>
      <c r="H65" s="29"/>
      <c r="I65" s="29"/>
      <c r="J65" s="29"/>
      <c r="K65" s="86"/>
    </row>
    <row r="66" spans="1:11" ht="15" customHeight="1">
      <c r="A66" s="29"/>
      <c r="B66" s="86"/>
      <c r="C66" s="29"/>
      <c r="D66" s="29"/>
      <c r="E66" s="29"/>
      <c r="F66" s="29"/>
      <c r="G66" s="29"/>
      <c r="H66" s="29"/>
      <c r="I66" s="29"/>
      <c r="J66" s="29"/>
      <c r="K66" s="86"/>
    </row>
    <row r="67" spans="1:11" ht="15" customHeight="1">
      <c r="A67" s="29"/>
      <c r="B67" s="86"/>
      <c r="C67" s="29"/>
      <c r="D67" s="29"/>
      <c r="E67" s="29"/>
      <c r="F67" s="29"/>
      <c r="G67" s="29"/>
      <c r="H67" s="29"/>
      <c r="I67" s="29"/>
      <c r="J67" s="29"/>
      <c r="K67" s="86"/>
    </row>
    <row r="68" spans="1:11" ht="15" customHeight="1">
      <c r="A68" s="29"/>
      <c r="B68" s="54"/>
      <c r="C68" s="30"/>
      <c r="D68" s="30"/>
      <c r="E68" s="30"/>
      <c r="F68" s="30"/>
      <c r="G68" s="30"/>
      <c r="H68" s="30"/>
      <c r="I68" s="30"/>
      <c r="J68" s="30"/>
      <c r="K68" s="86"/>
    </row>
    <row r="69" spans="1:11" ht="15" customHeight="1">
      <c r="A69" s="29"/>
      <c r="B69" s="29"/>
      <c r="C69" s="29"/>
      <c r="D69" s="29"/>
      <c r="E69" s="29"/>
      <c r="F69" s="29"/>
      <c r="G69" s="29"/>
      <c r="H69" s="29"/>
      <c r="I69" s="29"/>
      <c r="J69" s="29"/>
      <c r="K69" s="29"/>
    </row>
    <row r="70" spans="1:11" ht="15" customHeight="1">
      <c r="A70" s="29"/>
      <c r="B70" s="29"/>
      <c r="C70" s="29"/>
      <c r="D70" s="29"/>
      <c r="E70" s="29"/>
      <c r="F70" s="29"/>
      <c r="G70" s="29"/>
      <c r="H70" s="29"/>
      <c r="I70" s="29"/>
      <c r="J70" s="29"/>
      <c r="K70" s="29"/>
    </row>
    <row r="71" spans="1:11" ht="15" customHeight="1">
      <c r="A71" s="29"/>
      <c r="B71" s="29"/>
      <c r="C71" s="29"/>
      <c r="D71" s="29"/>
      <c r="E71" s="29"/>
      <c r="F71" s="29"/>
      <c r="G71" s="29"/>
      <c r="H71" s="29"/>
      <c r="I71" s="29"/>
      <c r="J71" s="29"/>
      <c r="K71" s="29"/>
    </row>
    <row r="72" spans="1:11" ht="15" customHeight="1">
      <c r="A72" s="29"/>
      <c r="B72" s="29"/>
      <c r="C72" s="29"/>
      <c r="D72" s="29"/>
      <c r="E72" s="29"/>
      <c r="F72" s="95"/>
      <c r="G72" s="95"/>
      <c r="H72" s="95"/>
      <c r="I72" s="95"/>
      <c r="J72" s="29"/>
      <c r="K72" s="29"/>
    </row>
    <row r="73" spans="1:11" ht="15" customHeight="1">
      <c r="A73" s="29"/>
      <c r="K73" s="29"/>
    </row>
    <row r="74" spans="1:11" ht="15" customHeight="1">
      <c r="A74" s="29"/>
      <c r="B74" s="154"/>
      <c r="C74" s="108"/>
      <c r="D74" s="108"/>
      <c r="E74" s="108"/>
      <c r="F74" s="108"/>
      <c r="G74" s="108"/>
      <c r="H74" s="108"/>
      <c r="I74" s="108"/>
      <c r="J74" s="137"/>
      <c r="K74" s="124"/>
    </row>
    <row r="75" spans="1:11" ht="15" customHeight="1">
      <c r="A75" s="29"/>
      <c r="B75" s="86"/>
      <c r="C75" s="29"/>
      <c r="D75" s="29"/>
      <c r="E75" s="123"/>
      <c r="F75" s="123"/>
      <c r="G75" s="123"/>
      <c r="H75" s="123"/>
      <c r="I75" s="124"/>
      <c r="J75" s="138"/>
      <c r="K75" s="95"/>
    </row>
    <row r="76" spans="1:11" ht="15" customHeight="1">
      <c r="A76" s="29"/>
      <c r="B76" s="96"/>
      <c r="C76" s="95"/>
      <c r="D76" s="95"/>
      <c r="E76" s="95"/>
      <c r="F76" s="29"/>
      <c r="G76" s="29"/>
      <c r="H76" s="95"/>
      <c r="I76" s="95"/>
      <c r="J76" s="139"/>
      <c r="K76" s="91"/>
    </row>
    <row r="77" spans="1:11" ht="15" customHeight="1">
      <c r="A77" s="29"/>
      <c r="B77" s="86"/>
      <c r="C77" s="29"/>
      <c r="D77" s="29"/>
      <c r="E77" s="29"/>
      <c r="F77" s="91"/>
      <c r="G77" s="91"/>
      <c r="H77" s="29"/>
      <c r="I77" s="91"/>
      <c r="J77" s="140"/>
      <c r="K77" s="29"/>
    </row>
    <row r="78" spans="1:11" ht="15" customHeight="1">
      <c r="A78" s="29"/>
      <c r="B78" s="86"/>
      <c r="C78" s="29"/>
      <c r="D78" s="29"/>
      <c r="E78" s="29"/>
      <c r="F78" s="29"/>
      <c r="G78" s="29"/>
      <c r="H78" s="29"/>
      <c r="I78" s="29"/>
      <c r="J78" s="140"/>
      <c r="K78" s="29"/>
    </row>
    <row r="79" spans="1:11" ht="15" customHeight="1">
      <c r="A79" s="29"/>
      <c r="B79" s="86"/>
      <c r="C79" s="29"/>
      <c r="D79" s="29"/>
      <c r="E79" s="29"/>
      <c r="F79" s="29"/>
      <c r="G79" s="29"/>
      <c r="H79" s="29"/>
      <c r="I79" s="29"/>
      <c r="J79" s="140"/>
      <c r="K79" s="29"/>
    </row>
    <row r="80" spans="1:11" ht="15" customHeight="1">
      <c r="A80" s="29"/>
      <c r="B80" s="86"/>
      <c r="C80" s="29"/>
      <c r="D80" s="29"/>
      <c r="E80" s="29"/>
      <c r="F80" s="29"/>
      <c r="G80" s="29"/>
      <c r="H80" s="29"/>
      <c r="I80" s="29"/>
      <c r="J80" s="140"/>
      <c r="K80" s="29"/>
    </row>
    <row r="81" spans="1:11" ht="15" customHeight="1">
      <c r="A81" s="29"/>
      <c r="B81" s="86"/>
      <c r="C81" s="29"/>
      <c r="D81" s="29"/>
      <c r="E81" s="29"/>
      <c r="F81" s="29" t="s">
        <v>126</v>
      </c>
      <c r="G81" s="29"/>
      <c r="H81" s="29"/>
      <c r="I81" s="29"/>
      <c r="J81" s="140"/>
      <c r="K81" s="29"/>
    </row>
    <row r="82" spans="1:11" ht="15" customHeight="1">
      <c r="A82" s="29"/>
      <c r="B82" s="86"/>
      <c r="C82" s="29"/>
      <c r="D82" s="29"/>
      <c r="E82" s="29"/>
      <c r="F82" s="29"/>
      <c r="G82" s="29"/>
      <c r="H82" s="29"/>
      <c r="I82" s="29"/>
      <c r="J82" s="140"/>
      <c r="K82" s="29"/>
    </row>
    <row r="83" spans="1:11" ht="15" customHeight="1">
      <c r="A83" s="29"/>
      <c r="B83" s="86"/>
      <c r="C83" s="29"/>
      <c r="D83" s="29"/>
      <c r="E83" s="29"/>
      <c r="F83" s="29"/>
      <c r="G83" s="29"/>
      <c r="H83" s="29"/>
      <c r="I83" s="29"/>
      <c r="J83" s="140"/>
      <c r="K83" s="29"/>
    </row>
    <row r="84" spans="1:11" ht="15" customHeight="1">
      <c r="A84" s="29"/>
      <c r="B84" s="86"/>
      <c r="C84" s="29"/>
      <c r="D84" s="29"/>
      <c r="E84" s="29"/>
      <c r="F84" s="29"/>
      <c r="G84" s="29"/>
      <c r="H84" s="29"/>
      <c r="I84" s="29"/>
      <c r="J84" s="140"/>
      <c r="K84" s="29"/>
    </row>
    <row r="85" spans="1:11" ht="15" customHeight="1">
      <c r="A85" s="29"/>
      <c r="B85" s="86"/>
      <c r="C85" s="29"/>
      <c r="D85" s="29"/>
      <c r="E85" s="29"/>
      <c r="F85" s="29"/>
      <c r="G85" s="29"/>
      <c r="H85" s="29"/>
      <c r="I85" s="29"/>
      <c r="J85" s="140"/>
      <c r="K85" s="29"/>
    </row>
    <row r="86" spans="1:11" ht="15" customHeight="1">
      <c r="A86" s="29"/>
      <c r="B86" s="86"/>
      <c r="C86" s="29"/>
      <c r="D86" s="29"/>
      <c r="E86" s="29"/>
      <c r="F86" s="29"/>
      <c r="G86" s="29"/>
      <c r="H86" s="29"/>
      <c r="I86" s="29"/>
      <c r="J86" s="140"/>
      <c r="K86" s="29"/>
    </row>
    <row r="87" spans="1:11" ht="15" customHeight="1">
      <c r="A87" s="29"/>
      <c r="B87" s="86"/>
      <c r="C87" s="29"/>
      <c r="D87" s="29"/>
      <c r="E87" s="29"/>
      <c r="F87" s="29"/>
      <c r="G87" s="29"/>
      <c r="H87" s="29"/>
      <c r="I87" s="29"/>
      <c r="J87" s="140"/>
      <c r="K87" s="29"/>
    </row>
    <row r="88" spans="1:11" ht="15" customHeight="1">
      <c r="A88" s="29"/>
      <c r="B88" s="86"/>
      <c r="C88" s="29"/>
      <c r="D88" s="29"/>
      <c r="E88" s="29"/>
      <c r="F88" s="29"/>
      <c r="G88" s="29"/>
      <c r="H88" s="29"/>
      <c r="I88" s="29"/>
      <c r="J88" s="140"/>
      <c r="K88" s="29"/>
    </row>
    <row r="89" spans="1:11" ht="15" customHeight="1">
      <c r="A89" s="29"/>
      <c r="B89" s="86"/>
      <c r="C89" s="29"/>
      <c r="D89" s="29"/>
      <c r="E89" s="29"/>
      <c r="F89" s="29"/>
      <c r="G89" s="29"/>
      <c r="H89" s="29"/>
      <c r="I89" s="29"/>
      <c r="J89" s="140"/>
      <c r="K89" s="29"/>
    </row>
    <row r="90" spans="1:11" ht="15" customHeight="1">
      <c r="A90" s="29"/>
      <c r="B90" s="54"/>
      <c r="C90" s="30"/>
      <c r="D90" s="30"/>
      <c r="E90" s="30"/>
      <c r="F90" s="30"/>
      <c r="G90" s="30"/>
      <c r="H90" s="30"/>
      <c r="I90" s="30"/>
      <c r="J90" s="114"/>
      <c r="K90" s="91"/>
    </row>
    <row r="91" spans="1:11" ht="15" customHeight="1">
      <c r="A91" s="29"/>
      <c r="B91" s="29"/>
      <c r="C91" s="29"/>
      <c r="D91" s="29"/>
      <c r="E91" s="121"/>
      <c r="F91" s="121"/>
      <c r="G91" s="91"/>
      <c r="H91" s="91"/>
      <c r="I91" s="91"/>
      <c r="J91" s="91"/>
      <c r="K91" s="91"/>
    </row>
    <row r="92" spans="1:11" ht="15" customHeight="1">
      <c r="A92" s="29"/>
      <c r="B92" s="29"/>
      <c r="C92" s="29"/>
      <c r="D92" s="29"/>
      <c r="E92" s="121"/>
      <c r="F92" s="121"/>
      <c r="G92" s="91"/>
      <c r="H92" s="91"/>
      <c r="I92" s="91"/>
      <c r="J92" s="91"/>
      <c r="K92" s="91"/>
    </row>
    <row r="93" spans="1:11" ht="15" customHeight="1">
      <c r="A93" s="29"/>
      <c r="B93" s="29"/>
      <c r="C93" s="29"/>
      <c r="D93" s="29" t="s">
        <v>525</v>
      </c>
      <c r="E93" s="29"/>
      <c r="F93" s="29"/>
      <c r="G93" s="91"/>
      <c r="H93" s="91"/>
      <c r="I93" s="91"/>
      <c r="J93" s="91"/>
      <c r="K93" s="91"/>
    </row>
  </sheetData>
  <sheetProtection sheet="1" scenarios="1" formatCells="0" formatColumns="0" formatRows="0"/>
  <mergeCells count="2">
    <mergeCell ref="H1:K1"/>
    <mergeCell ref="H48:K48"/>
  </mergeCells>
  <printOptions/>
  <pageMargins left="0.984251968503937" right="0.5905511811023623" top="0.5905511811023623" bottom="0.5905511811023623" header="0.31496062992125984" footer="0.31496062992125984"/>
  <pageSetup horizontalDpi="300" verticalDpi="300" orientation="portrait" paperSize="9" r:id="rId1"/>
  <rowBreaks count="1" manualBreakCount="1">
    <brk id="47" max="11" man="1"/>
  </rowBreaks>
</worksheet>
</file>

<file path=xl/worksheets/sheet6.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
    </sheetView>
  </sheetViews>
  <sheetFormatPr defaultColWidth="5.77734375" defaultRowHeight="15" customHeight="1"/>
  <cols>
    <col min="1" max="1" width="2.77734375" style="3" customWidth="1"/>
    <col min="2" max="2" width="64.77734375" style="3" customWidth="1"/>
    <col min="3" max="16384" width="5.77734375" style="3" customWidth="1"/>
  </cols>
  <sheetData>
    <row r="1" spans="1:16" ht="18" customHeight="1">
      <c r="A1" s="131" t="s">
        <v>137</v>
      </c>
      <c r="N1" s="76"/>
      <c r="O1" s="94"/>
      <c r="P1" s="76"/>
    </row>
    <row r="2" spans="2:14" ht="14.25" customHeight="1">
      <c r="B2" s="145"/>
      <c r="C2" s="29"/>
      <c r="D2" s="29"/>
      <c r="E2" s="29"/>
      <c r="F2" s="29"/>
      <c r="G2" s="29"/>
      <c r="H2" s="29"/>
      <c r="I2" s="29"/>
      <c r="J2" s="29"/>
      <c r="K2" s="29"/>
      <c r="L2" s="29"/>
      <c r="M2" s="29"/>
      <c r="N2" s="29"/>
    </row>
    <row r="3" spans="1:14" ht="24.75" customHeight="1">
      <c r="A3" s="8"/>
      <c r="B3" s="149" t="s">
        <v>141</v>
      </c>
      <c r="C3" s="29"/>
      <c r="D3" s="29"/>
      <c r="E3" s="29"/>
      <c r="F3" s="29"/>
      <c r="G3" s="29"/>
      <c r="H3" s="29"/>
      <c r="I3" s="29"/>
      <c r="J3" s="29"/>
      <c r="K3" s="29"/>
      <c r="L3" s="29"/>
      <c r="M3" s="29"/>
      <c r="N3" s="29"/>
    </row>
    <row r="4" spans="1:14" ht="24.75" customHeight="1">
      <c r="A4" s="13"/>
      <c r="B4" s="150" t="s">
        <v>46</v>
      </c>
      <c r="C4" s="29"/>
      <c r="D4" s="29"/>
      <c r="E4" s="29"/>
      <c r="F4" s="29"/>
      <c r="G4" s="29"/>
      <c r="H4" s="29"/>
      <c r="I4" s="29"/>
      <c r="J4" s="29"/>
      <c r="K4" s="29"/>
      <c r="L4" s="29"/>
      <c r="M4" s="29"/>
      <c r="N4" s="29"/>
    </row>
    <row r="5" spans="1:14" ht="24.75" customHeight="1">
      <c r="A5" s="13"/>
      <c r="B5" s="150" t="s">
        <v>142</v>
      </c>
      <c r="C5" s="29"/>
      <c r="D5" s="29"/>
      <c r="E5" s="29"/>
      <c r="F5" s="123"/>
      <c r="G5" s="123"/>
      <c r="H5" s="123"/>
      <c r="I5" s="123"/>
      <c r="J5" s="124"/>
      <c r="K5" s="124"/>
      <c r="L5" s="124"/>
      <c r="M5" s="124"/>
      <c r="N5" s="29"/>
    </row>
    <row r="6" spans="1:14" ht="24.75" customHeight="1">
      <c r="A6" s="13"/>
      <c r="B6" s="150" t="s">
        <v>47</v>
      </c>
      <c r="C6" s="95"/>
      <c r="D6" s="95"/>
      <c r="E6" s="95"/>
      <c r="F6" s="95"/>
      <c r="G6" s="29"/>
      <c r="H6" s="29"/>
      <c r="I6" s="95"/>
      <c r="J6" s="95"/>
      <c r="K6" s="95"/>
      <c r="L6" s="95"/>
      <c r="M6" s="95"/>
      <c r="N6" s="29"/>
    </row>
    <row r="7" spans="1:14" ht="24.75" customHeight="1">
      <c r="A7" s="13"/>
      <c r="B7" s="150" t="s">
        <v>144</v>
      </c>
      <c r="C7" s="29"/>
      <c r="D7" s="29"/>
      <c r="E7" s="29"/>
      <c r="F7" s="29"/>
      <c r="G7" s="91"/>
      <c r="H7" s="91"/>
      <c r="I7" s="29"/>
      <c r="J7" s="91"/>
      <c r="K7" s="29"/>
      <c r="L7" s="91"/>
      <c r="M7" s="29"/>
      <c r="N7" s="29"/>
    </row>
    <row r="8" spans="1:14" ht="24.75" customHeight="1">
      <c r="A8" s="13"/>
      <c r="B8" s="150" t="s">
        <v>143</v>
      </c>
      <c r="C8" s="29"/>
      <c r="D8" s="29"/>
      <c r="E8" s="29"/>
      <c r="F8" s="29"/>
      <c r="G8" s="29"/>
      <c r="H8" s="29"/>
      <c r="I8" s="29"/>
      <c r="J8" s="29"/>
      <c r="K8" s="29"/>
      <c r="L8" s="29"/>
      <c r="M8" s="29"/>
      <c r="N8" s="29"/>
    </row>
    <row r="9" spans="1:14" ht="24.75" customHeight="1">
      <c r="A9" s="13"/>
      <c r="B9" s="150" t="s">
        <v>146</v>
      </c>
      <c r="C9" s="29"/>
      <c r="D9" s="29"/>
      <c r="E9" s="29"/>
      <c r="F9" s="29"/>
      <c r="G9" s="29"/>
      <c r="H9" s="29"/>
      <c r="I9" s="29"/>
      <c r="J9" s="29"/>
      <c r="K9" s="29"/>
      <c r="L9" s="29"/>
      <c r="M9" s="29"/>
      <c r="N9" s="29"/>
    </row>
    <row r="10" spans="1:14" ht="24.75" customHeight="1">
      <c r="A10" s="13"/>
      <c r="B10" s="150" t="s">
        <v>147</v>
      </c>
      <c r="C10" s="29"/>
      <c r="D10" s="29"/>
      <c r="E10" s="29"/>
      <c r="F10" s="29"/>
      <c r="G10" s="29"/>
      <c r="H10" s="29"/>
      <c r="I10" s="29"/>
      <c r="J10" s="29"/>
      <c r="K10" s="29"/>
      <c r="L10" s="29"/>
      <c r="M10" s="29"/>
      <c r="N10" s="29"/>
    </row>
    <row r="11" spans="1:14" ht="24.75" customHeight="1">
      <c r="A11" s="13"/>
      <c r="B11" s="150" t="s">
        <v>203</v>
      </c>
      <c r="C11" s="29"/>
      <c r="D11" s="29"/>
      <c r="E11" s="29"/>
      <c r="F11" s="29"/>
      <c r="G11" s="29"/>
      <c r="H11" s="29"/>
      <c r="I11" s="29"/>
      <c r="J11" s="29"/>
      <c r="K11" s="29"/>
      <c r="L11" s="29"/>
      <c r="M11" s="29"/>
      <c r="N11" s="29"/>
    </row>
    <row r="12" spans="1:14" ht="24.75" customHeight="1">
      <c r="A12" s="13"/>
      <c r="B12" s="150" t="s">
        <v>447</v>
      </c>
      <c r="C12" s="29"/>
      <c r="D12" s="29"/>
      <c r="E12" s="29"/>
      <c r="F12" s="29"/>
      <c r="G12" s="29"/>
      <c r="H12" s="29"/>
      <c r="I12" s="29"/>
      <c r="J12" s="29"/>
      <c r="K12" s="29"/>
      <c r="L12" s="29"/>
      <c r="M12" s="29"/>
      <c r="N12" s="29"/>
    </row>
    <row r="13" spans="1:14" ht="24.75" customHeight="1">
      <c r="A13" s="13"/>
      <c r="B13" s="150" t="s">
        <v>448</v>
      </c>
      <c r="C13" s="29"/>
      <c r="D13" s="29"/>
      <c r="E13" s="29"/>
      <c r="F13" s="29"/>
      <c r="G13" s="29"/>
      <c r="H13" s="29"/>
      <c r="I13" s="29"/>
      <c r="J13" s="29"/>
      <c r="K13" s="29"/>
      <c r="L13" s="29"/>
      <c r="M13" s="29"/>
      <c r="N13" s="29"/>
    </row>
    <row r="14" spans="1:14" ht="24.75" customHeight="1">
      <c r="A14" s="13"/>
      <c r="B14" s="150" t="s">
        <v>450</v>
      </c>
      <c r="C14" s="29"/>
      <c r="D14" s="29"/>
      <c r="E14" s="29"/>
      <c r="F14" s="29"/>
      <c r="G14" s="29"/>
      <c r="H14" s="29"/>
      <c r="I14" s="29"/>
      <c r="J14" s="29"/>
      <c r="K14" s="29"/>
      <c r="L14" s="29"/>
      <c r="M14" s="29"/>
      <c r="N14" s="29"/>
    </row>
    <row r="15" spans="1:14" ht="24.75" customHeight="1">
      <c r="A15" s="13"/>
      <c r="B15" s="150" t="s">
        <v>449</v>
      </c>
      <c r="C15" s="29"/>
      <c r="D15" s="29"/>
      <c r="E15" s="29"/>
      <c r="F15" s="29"/>
      <c r="G15" s="29"/>
      <c r="H15" s="29"/>
      <c r="I15" s="29"/>
      <c r="J15" s="29"/>
      <c r="K15" s="29"/>
      <c r="L15" s="29"/>
      <c r="M15" s="29"/>
      <c r="N15" s="29"/>
    </row>
    <row r="16" spans="1:14" ht="24.75" customHeight="1">
      <c r="A16" s="13"/>
      <c r="B16" s="150" t="s">
        <v>149</v>
      </c>
      <c r="C16" s="29"/>
      <c r="D16" s="29"/>
      <c r="E16" s="29"/>
      <c r="F16" s="29"/>
      <c r="G16" s="29"/>
      <c r="H16" s="29"/>
      <c r="I16" s="29"/>
      <c r="J16" s="29"/>
      <c r="K16" s="29"/>
      <c r="L16" s="29"/>
      <c r="M16" s="29"/>
      <c r="N16" s="29"/>
    </row>
    <row r="17" spans="1:14" ht="24.75" customHeight="1">
      <c r="A17" s="13"/>
      <c r="B17" s="150" t="s">
        <v>148</v>
      </c>
      <c r="C17" s="29"/>
      <c r="D17" s="29"/>
      <c r="E17" s="29"/>
      <c r="F17" s="29"/>
      <c r="G17" s="29"/>
      <c r="H17" s="29"/>
      <c r="I17" s="29"/>
      <c r="J17" s="29"/>
      <c r="K17" s="29"/>
      <c r="L17" s="29"/>
      <c r="M17" s="29"/>
      <c r="N17" s="29"/>
    </row>
    <row r="18" spans="1:14" ht="24.75" customHeight="1">
      <c r="A18" s="13"/>
      <c r="B18" s="150" t="s">
        <v>151</v>
      </c>
      <c r="C18" s="29"/>
      <c r="D18" s="29"/>
      <c r="E18" s="29"/>
      <c r="F18" s="29"/>
      <c r="G18" s="29"/>
      <c r="H18" s="29"/>
      <c r="I18" s="29"/>
      <c r="J18" s="29"/>
      <c r="K18" s="29"/>
      <c r="L18" s="29"/>
      <c r="M18" s="29"/>
      <c r="N18" s="29"/>
    </row>
    <row r="19" spans="1:14" ht="24.75" customHeight="1">
      <c r="A19" s="13"/>
      <c r="B19" s="150" t="s">
        <v>150</v>
      </c>
      <c r="C19" s="29"/>
      <c r="D19" s="29"/>
      <c r="E19" s="29"/>
      <c r="F19" s="29"/>
      <c r="G19" s="95"/>
      <c r="H19" s="95"/>
      <c r="I19" s="95"/>
      <c r="J19" s="95"/>
      <c r="K19" s="29"/>
      <c r="L19" s="29"/>
      <c r="M19" s="29"/>
      <c r="N19" s="29"/>
    </row>
    <row r="20" spans="1:14" ht="24.75" customHeight="1">
      <c r="A20" s="13"/>
      <c r="B20" s="150" t="s">
        <v>152</v>
      </c>
      <c r="C20" s="29"/>
      <c r="D20" s="29"/>
      <c r="E20" s="29"/>
      <c r="F20" s="29"/>
      <c r="G20" s="29"/>
      <c r="H20" s="29"/>
      <c r="I20" s="29"/>
      <c r="J20" s="29"/>
      <c r="K20" s="29"/>
      <c r="L20" s="29"/>
      <c r="M20" s="29"/>
      <c r="N20" s="29"/>
    </row>
    <row r="21" spans="1:14" ht="24.75" customHeight="1">
      <c r="A21" s="13"/>
      <c r="B21" s="150" t="s">
        <v>48</v>
      </c>
      <c r="C21" s="29"/>
      <c r="D21" s="29"/>
      <c r="E21" s="29"/>
      <c r="F21" s="91"/>
      <c r="G21" s="91"/>
      <c r="H21" s="29"/>
      <c r="I21" s="91"/>
      <c r="J21" s="29"/>
      <c r="K21" s="91"/>
      <c r="L21" s="29"/>
      <c r="M21" s="29"/>
      <c r="N21" s="29"/>
    </row>
    <row r="22" spans="1:14" ht="24.75" customHeight="1">
      <c r="A22" s="13"/>
      <c r="B22" s="150" t="s">
        <v>331</v>
      </c>
      <c r="C22" s="29"/>
      <c r="D22" s="29"/>
      <c r="E22" s="29"/>
      <c r="F22" s="91"/>
      <c r="G22" s="91"/>
      <c r="H22" s="29"/>
      <c r="I22" s="91"/>
      <c r="J22" s="29"/>
      <c r="K22" s="91"/>
      <c r="L22" s="29"/>
      <c r="M22" s="29"/>
      <c r="N22" s="29"/>
    </row>
    <row r="23" spans="1:14" ht="24.75" customHeight="1">
      <c r="A23" s="13"/>
      <c r="B23" s="150" t="s">
        <v>330</v>
      </c>
      <c r="C23" s="29"/>
      <c r="D23" s="29"/>
      <c r="E23" s="29"/>
      <c r="F23" s="29"/>
      <c r="G23" s="29"/>
      <c r="H23" s="29"/>
      <c r="I23" s="29"/>
      <c r="J23" s="29"/>
      <c r="K23" s="29"/>
      <c r="L23" s="29"/>
      <c r="M23" s="29"/>
      <c r="N23" s="29"/>
    </row>
    <row r="24" spans="1:14" ht="24.75" customHeight="1">
      <c r="A24" s="13"/>
      <c r="B24" s="150"/>
      <c r="C24" s="29"/>
      <c r="D24" s="29"/>
      <c r="E24" s="29"/>
      <c r="F24" s="29"/>
      <c r="G24" s="29"/>
      <c r="H24" s="29"/>
      <c r="I24" s="29"/>
      <c r="J24" s="29"/>
      <c r="K24" s="29"/>
      <c r="L24" s="29"/>
      <c r="M24" s="29"/>
      <c r="N24" s="29"/>
    </row>
    <row r="25" spans="1:14" ht="24.75" customHeight="1">
      <c r="A25" s="13"/>
      <c r="B25" s="150"/>
      <c r="C25" s="29"/>
      <c r="D25" s="29"/>
      <c r="E25" s="29"/>
      <c r="F25" s="29"/>
      <c r="G25" s="29"/>
      <c r="H25" s="29"/>
      <c r="I25" s="29"/>
      <c r="J25" s="29"/>
      <c r="K25" s="29"/>
      <c r="L25" s="29"/>
      <c r="M25" s="29"/>
      <c r="N25" s="29"/>
    </row>
    <row r="26" spans="1:14" ht="24.75" customHeight="1">
      <c r="A26" s="13"/>
      <c r="B26" s="150"/>
      <c r="C26" s="29"/>
      <c r="D26" s="29"/>
      <c r="E26" s="29"/>
      <c r="F26" s="29"/>
      <c r="G26" s="29"/>
      <c r="H26" s="29"/>
      <c r="I26" s="29"/>
      <c r="J26" s="29"/>
      <c r="K26" s="29"/>
      <c r="L26" s="29"/>
      <c r="M26" s="29"/>
      <c r="N26" s="29"/>
    </row>
    <row r="27" spans="1:14" ht="24.75" customHeight="1">
      <c r="A27" s="13"/>
      <c r="B27" s="150"/>
      <c r="C27" s="29"/>
      <c r="D27" s="29"/>
      <c r="E27" s="29"/>
      <c r="F27" s="29"/>
      <c r="G27" s="29"/>
      <c r="H27" s="29"/>
      <c r="I27" s="29"/>
      <c r="J27" s="29"/>
      <c r="K27" s="29"/>
      <c r="L27" s="29"/>
      <c r="M27" s="29"/>
      <c r="N27" s="29"/>
    </row>
    <row r="28" spans="1:14" ht="24.75" customHeight="1">
      <c r="A28" s="13"/>
      <c r="B28" s="150"/>
      <c r="C28" s="29"/>
      <c r="D28" s="29"/>
      <c r="E28" s="29"/>
      <c r="F28" s="29"/>
      <c r="G28" s="29"/>
      <c r="H28" s="29"/>
      <c r="I28" s="29"/>
      <c r="J28" s="29"/>
      <c r="K28" s="29"/>
      <c r="L28" s="29"/>
      <c r="M28" s="29"/>
      <c r="N28" s="29"/>
    </row>
    <row r="29" spans="1:14" ht="15" customHeight="1">
      <c r="A29" s="13"/>
      <c r="B29" s="140"/>
      <c r="C29" s="29"/>
      <c r="D29" s="29"/>
      <c r="E29" s="29"/>
      <c r="F29" s="91"/>
      <c r="G29" s="97"/>
      <c r="H29" s="29"/>
      <c r="I29" s="97"/>
      <c r="J29" s="29"/>
      <c r="K29" s="97"/>
      <c r="L29" s="29"/>
      <c r="M29" s="29"/>
      <c r="N29" s="29"/>
    </row>
    <row r="30" spans="1:14" ht="15" customHeight="1">
      <c r="A30" s="14"/>
      <c r="B30" s="114"/>
      <c r="C30" s="29"/>
      <c r="D30" s="29"/>
      <c r="E30" s="29"/>
      <c r="F30" s="29"/>
      <c r="G30" s="29"/>
      <c r="H30" s="29"/>
      <c r="I30" s="29"/>
      <c r="J30" s="29"/>
      <c r="K30" s="29"/>
      <c r="L30" s="29"/>
      <c r="M30" s="29"/>
      <c r="N30" s="29"/>
    </row>
    <row r="31" spans="2:14" ht="15" customHeight="1">
      <c r="B31" s="29"/>
      <c r="C31" s="29"/>
      <c r="D31" s="29"/>
      <c r="E31" s="29"/>
      <c r="F31" s="29"/>
      <c r="G31" s="29"/>
      <c r="H31" s="29"/>
      <c r="I31" s="29"/>
      <c r="J31" s="29"/>
      <c r="K31" s="29"/>
      <c r="L31" s="29"/>
      <c r="M31" s="29"/>
      <c r="N31" s="29"/>
    </row>
    <row r="32" spans="2:14" ht="15" customHeight="1">
      <c r="B32" s="29"/>
      <c r="C32" s="29"/>
      <c r="D32" s="29"/>
      <c r="E32" s="29"/>
      <c r="F32" s="29"/>
      <c r="G32" s="29"/>
      <c r="H32" s="29"/>
      <c r="I32" s="29"/>
      <c r="J32" s="29"/>
      <c r="K32" s="29"/>
      <c r="L32" s="29"/>
      <c r="M32" s="29"/>
      <c r="N32" s="29"/>
    </row>
    <row r="33" spans="2:14" ht="15" customHeight="1">
      <c r="B33" s="29"/>
      <c r="C33" s="29"/>
      <c r="D33" s="29"/>
      <c r="E33" s="29"/>
      <c r="F33" s="29"/>
      <c r="G33" s="29"/>
      <c r="H33" s="29"/>
      <c r="I33" s="29"/>
      <c r="J33" s="29"/>
      <c r="K33" s="29"/>
      <c r="L33" s="29"/>
      <c r="M33" s="29"/>
      <c r="N33" s="29"/>
    </row>
    <row r="34" spans="2:14" ht="15" customHeight="1">
      <c r="B34" s="29"/>
      <c r="C34" s="29"/>
      <c r="D34" s="29"/>
      <c r="E34" s="29"/>
      <c r="F34" s="29"/>
      <c r="G34" s="29"/>
      <c r="H34" s="29"/>
      <c r="I34" s="29"/>
      <c r="J34" s="29"/>
      <c r="K34" s="29"/>
      <c r="L34" s="29"/>
      <c r="M34" s="29"/>
      <c r="N34" s="29"/>
    </row>
    <row r="35" spans="2:14" ht="15" customHeight="1">
      <c r="B35" s="29"/>
      <c r="C35" s="29"/>
      <c r="D35" s="29"/>
      <c r="E35" s="29"/>
      <c r="F35" s="29"/>
      <c r="G35" s="29"/>
      <c r="H35" s="29"/>
      <c r="I35" s="29"/>
      <c r="J35" s="29"/>
      <c r="K35" s="29"/>
      <c r="L35" s="29"/>
      <c r="M35" s="29"/>
      <c r="N35" s="29"/>
    </row>
    <row r="36" spans="2:14" ht="15" customHeight="1">
      <c r="B36" s="29"/>
      <c r="C36" s="29"/>
      <c r="D36" s="29"/>
      <c r="E36" s="29"/>
      <c r="F36" s="29"/>
      <c r="G36" s="29"/>
      <c r="H36" s="29"/>
      <c r="I36" s="29"/>
      <c r="J36" s="29"/>
      <c r="K36" s="29"/>
      <c r="L36" s="29"/>
      <c r="M36" s="29"/>
      <c r="N36" s="29"/>
    </row>
    <row r="37" spans="2:14" ht="15" customHeight="1">
      <c r="B37" s="29"/>
      <c r="C37" s="29"/>
      <c r="D37" s="29"/>
      <c r="E37" s="29"/>
      <c r="F37" s="29"/>
      <c r="G37" s="29"/>
      <c r="H37" s="29"/>
      <c r="I37" s="29"/>
      <c r="J37" s="29"/>
      <c r="K37" s="29"/>
      <c r="L37" s="29"/>
      <c r="M37" s="29"/>
      <c r="N37" s="29"/>
    </row>
    <row r="38" spans="2:14" ht="15" customHeight="1">
      <c r="B38" s="29"/>
      <c r="C38" s="29"/>
      <c r="D38" s="29"/>
      <c r="E38" s="29"/>
      <c r="F38" s="29"/>
      <c r="G38" s="29"/>
      <c r="H38" s="29"/>
      <c r="I38" s="29"/>
      <c r="J38" s="29"/>
      <c r="K38" s="29"/>
      <c r="L38" s="29"/>
      <c r="M38" s="29"/>
      <c r="N38" s="29"/>
    </row>
    <row r="39" spans="2:14" ht="15" customHeight="1">
      <c r="B39" s="29"/>
      <c r="C39" s="29"/>
      <c r="D39" s="29"/>
      <c r="E39" s="29"/>
      <c r="F39" s="29"/>
      <c r="G39" s="29"/>
      <c r="H39" s="29"/>
      <c r="I39" s="29"/>
      <c r="J39" s="29"/>
      <c r="K39" s="29"/>
      <c r="L39" s="29"/>
      <c r="M39" s="29"/>
      <c r="N39" s="29"/>
    </row>
    <row r="40" spans="2:14" ht="15" customHeight="1">
      <c r="B40" s="29"/>
      <c r="C40" s="29"/>
      <c r="D40" s="29"/>
      <c r="E40" s="29"/>
      <c r="F40" s="29"/>
      <c r="G40" s="29"/>
      <c r="H40" s="29"/>
      <c r="I40" s="29"/>
      <c r="J40" s="29"/>
      <c r="K40" s="29"/>
      <c r="L40" s="29"/>
      <c r="M40" s="29"/>
      <c r="N40" s="29"/>
    </row>
    <row r="41" spans="2:14" ht="15" customHeight="1">
      <c r="B41" s="29"/>
      <c r="C41" s="29"/>
      <c r="D41" s="29"/>
      <c r="E41" s="29"/>
      <c r="F41" s="29"/>
      <c r="G41" s="29"/>
      <c r="H41" s="29"/>
      <c r="I41" s="29"/>
      <c r="J41" s="29"/>
      <c r="K41" s="29"/>
      <c r="L41" s="29"/>
      <c r="M41" s="29"/>
      <c r="N41" s="29"/>
    </row>
    <row r="42" spans="2:14" ht="15" customHeight="1">
      <c r="B42" s="29"/>
      <c r="C42" s="29"/>
      <c r="D42" s="29"/>
      <c r="E42" s="29"/>
      <c r="F42" s="29"/>
      <c r="G42" s="29"/>
      <c r="H42" s="91"/>
      <c r="I42" s="91"/>
      <c r="J42" s="91"/>
      <c r="K42" s="91"/>
      <c r="L42" s="91"/>
      <c r="M42" s="29"/>
      <c r="N42" s="29"/>
    </row>
    <row r="43" spans="2:14" ht="15" customHeight="1">
      <c r="B43" s="29"/>
      <c r="C43" s="29"/>
      <c r="D43" s="29"/>
      <c r="E43" s="29"/>
      <c r="F43" s="29"/>
      <c r="G43" s="29"/>
      <c r="H43" s="91"/>
      <c r="I43" s="91"/>
      <c r="J43" s="91"/>
      <c r="K43" s="91"/>
      <c r="L43" s="91"/>
      <c r="M43" s="29"/>
      <c r="N43" s="29"/>
    </row>
    <row r="44" spans="2:14" ht="15" customHeight="1">
      <c r="B44" s="29"/>
      <c r="C44" s="29"/>
      <c r="D44" s="29"/>
      <c r="E44" s="29"/>
      <c r="F44" s="121"/>
      <c r="G44" s="121"/>
      <c r="H44" s="91"/>
      <c r="I44" s="91"/>
      <c r="J44" s="91"/>
      <c r="K44" s="91"/>
      <c r="L44" s="91"/>
      <c r="M44" s="29"/>
      <c r="N44" s="29"/>
    </row>
    <row r="45" spans="2:14" ht="15" customHeight="1">
      <c r="B45" s="29"/>
      <c r="C45" s="29"/>
      <c r="D45" s="29"/>
      <c r="E45" s="29"/>
      <c r="F45" s="29"/>
      <c r="G45" s="29"/>
      <c r="H45" s="91"/>
      <c r="I45" s="91"/>
      <c r="J45" s="91"/>
      <c r="K45" s="91"/>
      <c r="L45" s="91"/>
      <c r="M45" s="122"/>
      <c r="N45" s="29"/>
    </row>
    <row r="46" spans="2:14" ht="15" customHeight="1">
      <c r="B46" s="29"/>
      <c r="C46" s="29"/>
      <c r="D46" s="29"/>
      <c r="E46" s="29"/>
      <c r="F46" s="29"/>
      <c r="G46" s="29"/>
      <c r="H46" s="29"/>
      <c r="I46" s="29"/>
      <c r="J46" s="29"/>
      <c r="K46" s="29"/>
      <c r="L46" s="29"/>
      <c r="M46" s="29"/>
      <c r="N46" s="29"/>
    </row>
    <row r="47" spans="2:14" ht="15" customHeight="1">
      <c r="B47" s="29"/>
      <c r="C47" s="29"/>
      <c r="D47" s="29"/>
      <c r="E47" s="29"/>
      <c r="F47" s="29"/>
      <c r="G47" s="29"/>
      <c r="H47" s="29"/>
      <c r="I47" s="29"/>
      <c r="J47" s="29"/>
      <c r="K47" s="29"/>
      <c r="L47" s="29"/>
      <c r="M47" s="29"/>
      <c r="N47" s="29"/>
    </row>
    <row r="48" spans="2:14" ht="15" customHeight="1">
      <c r="B48" s="29"/>
      <c r="C48" s="29"/>
      <c r="D48" s="29"/>
      <c r="E48" s="29"/>
      <c r="F48" s="29"/>
      <c r="G48" s="29"/>
      <c r="H48" s="29"/>
      <c r="I48" s="29"/>
      <c r="J48" s="29"/>
      <c r="K48" s="29"/>
      <c r="L48" s="29"/>
      <c r="M48" s="29"/>
      <c r="N48" s="29"/>
    </row>
  </sheetData>
  <sheetProtection sheet="1" objects="1" scenarios="1" formatCells="0" formatColumns="0" formatRows="0"/>
  <printOptions/>
  <pageMargins left="0.984251968503937" right="0.5905511811023623" top="0.5905511811023623" bottom="0.5905511811023623" header="0.31496062992125984" footer="0.31496062992125984"/>
  <pageSetup horizontalDpi="300" verticalDpi="300" orientation="portrait" paperSize="9" r:id="rId1"/>
  <colBreaks count="1" manualBreakCount="1">
    <brk id="2" max="26" man="1"/>
  </colBreaks>
</worksheet>
</file>

<file path=xl/worksheets/sheet7.xml><?xml version="1.0" encoding="utf-8"?>
<worksheet xmlns="http://schemas.openxmlformats.org/spreadsheetml/2006/main" xmlns:r="http://schemas.openxmlformats.org/officeDocument/2006/relationships">
  <dimension ref="A1:AB78"/>
  <sheetViews>
    <sheetView zoomScalePageLayoutView="0" workbookViewId="0" topLeftCell="A6">
      <selection activeCell="J2" sqref="J2:N2"/>
    </sheetView>
  </sheetViews>
  <sheetFormatPr defaultColWidth="8.88671875" defaultRowHeight="15" customHeight="1"/>
  <cols>
    <col min="1" max="26" width="4.77734375" style="3" customWidth="1"/>
    <col min="27" max="16384" width="8.88671875" style="3" customWidth="1"/>
  </cols>
  <sheetData>
    <row r="1" spans="1:23" ht="15" customHeight="1">
      <c r="A1" s="92" t="s">
        <v>499</v>
      </c>
      <c r="L1" s="76" t="s">
        <v>492</v>
      </c>
      <c r="M1" s="470">
        <f>+'報告書'!K1</f>
        <v>45474</v>
      </c>
      <c r="N1" s="471"/>
      <c r="P1" s="186"/>
      <c r="W1" s="3" t="s">
        <v>54</v>
      </c>
    </row>
    <row r="2" spans="1:23" ht="15" customHeight="1">
      <c r="A2" s="3" t="s">
        <v>302</v>
      </c>
      <c r="J2" s="430"/>
      <c r="K2" s="890"/>
      <c r="L2" s="890"/>
      <c r="M2" s="890"/>
      <c r="N2" s="891"/>
      <c r="Q2" s="3" t="s">
        <v>493</v>
      </c>
      <c r="R2" s="3" t="s">
        <v>494</v>
      </c>
      <c r="S2" s="3" t="s">
        <v>495</v>
      </c>
      <c r="T2" s="3" t="s">
        <v>496</v>
      </c>
      <c r="U2" s="3" t="s">
        <v>497</v>
      </c>
      <c r="W2" s="3">
        <v>20</v>
      </c>
    </row>
    <row r="3" spans="1:27" ht="15" customHeight="1">
      <c r="A3" s="585" t="s">
        <v>352</v>
      </c>
      <c r="B3" s="585"/>
      <c r="C3" s="585" t="s">
        <v>227</v>
      </c>
      <c r="D3" s="585"/>
      <c r="E3" s="585" t="s">
        <v>174</v>
      </c>
      <c r="F3" s="585" t="s">
        <v>228</v>
      </c>
      <c r="G3" s="717"/>
      <c r="H3" s="717"/>
      <c r="I3" s="717"/>
      <c r="J3" s="717"/>
      <c r="K3" s="717"/>
      <c r="L3" s="717"/>
      <c r="M3" s="702" t="s">
        <v>229</v>
      </c>
      <c r="N3" s="702" t="s">
        <v>230</v>
      </c>
      <c r="W3" s="716" t="s">
        <v>172</v>
      </c>
      <c r="X3" s="716" t="s">
        <v>173</v>
      </c>
      <c r="Y3" s="760" t="s">
        <v>98</v>
      </c>
      <c r="Z3" s="760"/>
      <c r="AA3" s="760"/>
    </row>
    <row r="4" spans="1:27" ht="15" customHeight="1">
      <c r="A4" s="585"/>
      <c r="B4" s="585"/>
      <c r="C4" s="585"/>
      <c r="D4" s="585"/>
      <c r="E4" s="717"/>
      <c r="F4" s="717"/>
      <c r="G4" s="717"/>
      <c r="H4" s="717"/>
      <c r="I4" s="717"/>
      <c r="J4" s="717"/>
      <c r="K4" s="717"/>
      <c r="L4" s="717"/>
      <c r="M4" s="703"/>
      <c r="N4" s="703"/>
      <c r="W4" s="716"/>
      <c r="X4" s="716"/>
      <c r="Y4" s="760"/>
      <c r="Z4" s="760"/>
      <c r="AA4" s="760"/>
    </row>
    <row r="5" spans="1:24" ht="15" customHeight="1">
      <c r="A5" s="585" t="s">
        <v>222</v>
      </c>
      <c r="B5" s="585"/>
      <c r="C5" s="585" t="s">
        <v>223</v>
      </c>
      <c r="D5" s="585"/>
      <c r="E5" s="173"/>
      <c r="F5" s="39"/>
      <c r="G5" s="46"/>
      <c r="H5" s="46"/>
      <c r="I5" s="46"/>
      <c r="J5" s="46"/>
      <c r="K5" s="46"/>
      <c r="L5" s="47"/>
      <c r="M5" s="586">
        <f>IF(AND(P5=FALSE,P6=FALSE),Y6,2)</f>
      </c>
      <c r="N5" s="586">
        <f>+Y6</f>
      </c>
      <c r="P5" s="244" t="b">
        <v>0</v>
      </c>
      <c r="Q5" s="244" t="b">
        <v>0</v>
      </c>
      <c r="R5" s="244" t="b">
        <v>0</v>
      </c>
      <c r="S5" s="244" t="b">
        <v>0</v>
      </c>
      <c r="T5" s="244" t="b">
        <v>0</v>
      </c>
      <c r="U5" s="244"/>
      <c r="V5" s="244"/>
      <c r="W5" s="71">
        <f>+IF(AND(Q5=FALSE,R5=FALSE,S5=FALSE,T5=FALSE),0,IF(Q5=TRUE,2,IF(R5=TRUE,2,IF(S5=TRUE,2,IF(T5=TRUE,2,0)))))</f>
        <v>0</v>
      </c>
      <c r="X5" s="71">
        <f>+IF(AND(Q5=FALSE,R5=FALSE,S5=FALSE,T5=FALSE),0,IF(Q5=TRUE,2,IF(R5=TRUE,2,IF(S5=TRUE,2,IF(T5=TRUE,2,0)))))</f>
        <v>0</v>
      </c>
    </row>
    <row r="6" spans="1:25" ht="15" customHeight="1">
      <c r="A6" s="585"/>
      <c r="B6" s="585"/>
      <c r="C6" s="585" t="s">
        <v>224</v>
      </c>
      <c r="D6" s="585"/>
      <c r="E6" s="173"/>
      <c r="F6" s="39"/>
      <c r="G6" s="175"/>
      <c r="H6" s="46"/>
      <c r="I6" s="46"/>
      <c r="J6" s="46"/>
      <c r="K6" s="46"/>
      <c r="L6" s="47"/>
      <c r="M6" s="587"/>
      <c r="N6" s="587"/>
      <c r="P6" s="244" t="b">
        <v>0</v>
      </c>
      <c r="Q6" s="244" t="b">
        <v>0</v>
      </c>
      <c r="R6" s="244" t="b">
        <v>0</v>
      </c>
      <c r="S6" s="244" t="b">
        <v>0</v>
      </c>
      <c r="T6" s="244" t="b">
        <v>0</v>
      </c>
      <c r="U6" s="244"/>
      <c r="V6" s="244"/>
      <c r="W6" s="71">
        <f>+IF(AND(Q6=FALSE,R6=FALSE,S6=FALSE,T6=FALSE),0,IF(Q6=TRUE,2,IF(R6=TRUE,2,IF(S6=TRUE,2,IF(T6=TRUE,2,0)))))</f>
        <v>0</v>
      </c>
      <c r="X6" s="71">
        <f>+IF(AND(Q6=FALSE,R6=FALSE,S6=FALSE,T6=FALSE),0,IF(Q6=TRUE,2,IF(R6=TRUE,2,IF(S6=TRUE,2,IF(T6=TRUE,2,0)))))</f>
        <v>0</v>
      </c>
      <c r="Y6" s="3">
        <f>IF(W2&gt;=10,IF(MAX(X5,X6)=0,"",MAX(X5,X6)),IF(MAX(W5:W6)=0,"",MAX(W5,W6)))</f>
      </c>
    </row>
    <row r="7" spans="1:25" ht="15" customHeight="1">
      <c r="A7" s="585" t="s">
        <v>175</v>
      </c>
      <c r="B7" s="585"/>
      <c r="C7" s="585" t="s">
        <v>225</v>
      </c>
      <c r="D7" s="585"/>
      <c r="E7" s="49"/>
      <c r="F7" s="152"/>
      <c r="G7" s="153"/>
      <c r="H7" s="153"/>
      <c r="I7" s="153"/>
      <c r="J7" s="153"/>
      <c r="K7" s="153"/>
      <c r="L7" s="176"/>
      <c r="M7" s="586">
        <f>IF(AND(P7=FALSE),Y7,2)</f>
      </c>
      <c r="N7" s="586">
        <f>+Y7</f>
      </c>
      <c r="P7" s="244" t="b">
        <v>0</v>
      </c>
      <c r="Q7" s="244" t="b">
        <v>0</v>
      </c>
      <c r="R7" s="244" t="b">
        <v>0</v>
      </c>
      <c r="S7" s="244" t="b">
        <v>0</v>
      </c>
      <c r="T7" s="244" t="b">
        <v>0</v>
      </c>
      <c r="U7" s="244" t="b">
        <v>0</v>
      </c>
      <c r="V7" s="244"/>
      <c r="W7" s="71">
        <f>+IF(AND(Q7=FALSE,R7=FALSE,S7=FALSE,T7=FALSE,U7=FALSE),0,IF(Q7=TRUE,2,IF(R7=TRUE,2,IF(S7=TRUE,2,IF(T7=TRUE,2,IF(U7=TRUE,2,0))))))</f>
        <v>0</v>
      </c>
      <c r="X7" s="71">
        <f>+IF(AND(Q7=FALSE,R7=FALSE,S7=FALSE,T7=FALSE,U7=FALSE),0,IF(Q7=TRUE,2,IF(R7=TRUE,2,IF(S7=TRUE,2,IF(T7=TRUE,2,IF(U7=TRUE,2,0))))))</f>
        <v>0</v>
      </c>
      <c r="Y7" s="3">
        <f>IF(W2&gt;=10,IF(X7=0,"",X7),IF(W7=0,"",W7))</f>
      </c>
    </row>
    <row r="8" spans="1:22" ht="15" customHeight="1">
      <c r="A8" s="585"/>
      <c r="B8" s="585"/>
      <c r="C8" s="585"/>
      <c r="D8" s="585"/>
      <c r="E8" s="48"/>
      <c r="F8" s="26"/>
      <c r="G8" s="28"/>
      <c r="H8" s="28"/>
      <c r="I8" s="28"/>
      <c r="J8" s="28"/>
      <c r="K8" s="28"/>
      <c r="L8" s="177"/>
      <c r="M8" s="587"/>
      <c r="N8" s="587"/>
      <c r="P8" s="244"/>
      <c r="Q8" s="244"/>
      <c r="R8" s="244"/>
      <c r="S8" s="244"/>
      <c r="T8" s="244"/>
      <c r="U8" s="244"/>
      <c r="V8" s="244"/>
    </row>
    <row r="9" spans="1:25" ht="15" customHeight="1">
      <c r="A9" s="585"/>
      <c r="B9" s="585"/>
      <c r="C9" s="585" t="s">
        <v>226</v>
      </c>
      <c r="D9" s="585"/>
      <c r="E9" s="49"/>
      <c r="F9" s="152"/>
      <c r="G9" s="153"/>
      <c r="H9" s="153"/>
      <c r="I9" s="153"/>
      <c r="J9" s="153"/>
      <c r="K9" s="153"/>
      <c r="L9" s="176"/>
      <c r="M9" s="586">
        <f>IF(AND(P9=FALSE),Y9,2)</f>
      </c>
      <c r="N9" s="586">
        <f>+Y9</f>
      </c>
      <c r="P9" s="244" t="b">
        <v>0</v>
      </c>
      <c r="Q9" s="244" t="b">
        <v>0</v>
      </c>
      <c r="R9" s="244" t="b">
        <v>0</v>
      </c>
      <c r="S9" s="244" t="b">
        <v>0</v>
      </c>
      <c r="T9" s="244" t="b">
        <v>0</v>
      </c>
      <c r="U9" s="244" t="b">
        <v>0</v>
      </c>
      <c r="V9" s="244"/>
      <c r="W9" s="71">
        <f>+IF(AND(Q9=FALSE,R9=FALSE,S9=FALSE,T9=FALSE,U9=FALSE),0,IF(Q9=TRUE,2,IF(R9=TRUE,2,IF(S9=TRUE,2,IF(T9=TRUE,2,IF(U9=TRUE,2,0))))))</f>
        <v>0</v>
      </c>
      <c r="X9" s="71">
        <f>+IF(AND(Q9=FALSE,R9=FALSE,S9=FALSE,T9=FALSE,U9=FALSE),0,IF(Q9=TRUE,2,IF(R9=TRUE,2,IF(S9=TRUE,2,IF(T9=TRUE,2,IF(U9=TRUE,2,1))))))</f>
        <v>0</v>
      </c>
      <c r="Y9" s="3">
        <f>IF(W2&gt;=10,IF(X9=0,"",X9),IF(W9=0,"",W9))</f>
      </c>
    </row>
    <row r="10" spans="1:22" ht="15" customHeight="1">
      <c r="A10" s="585"/>
      <c r="B10" s="585"/>
      <c r="C10" s="585"/>
      <c r="D10" s="585"/>
      <c r="E10" s="174"/>
      <c r="F10" s="26"/>
      <c r="G10" s="28"/>
      <c r="H10" s="28"/>
      <c r="I10" s="28"/>
      <c r="J10" s="28"/>
      <c r="K10" s="28"/>
      <c r="L10" s="177"/>
      <c r="M10" s="587"/>
      <c r="N10" s="587"/>
      <c r="P10" s="244"/>
      <c r="Q10" s="244"/>
      <c r="R10" s="244"/>
      <c r="S10" s="244"/>
      <c r="T10" s="244"/>
      <c r="U10" s="244"/>
      <c r="V10" s="244"/>
    </row>
    <row r="11" spans="1:24" ht="15" customHeight="1">
      <c r="A11" s="585" t="s">
        <v>184</v>
      </c>
      <c r="B11" s="585"/>
      <c r="C11" s="735" t="s">
        <v>190</v>
      </c>
      <c r="D11" s="735"/>
      <c r="E11" s="49"/>
      <c r="F11" s="152"/>
      <c r="G11" s="153"/>
      <c r="H11" s="153"/>
      <c r="I11" s="153"/>
      <c r="J11" s="153"/>
      <c r="K11" s="153"/>
      <c r="L11" s="176"/>
      <c r="M11" s="586">
        <f>IF(AND(P11=FALSE,P13=FALSE,P15=FALSE,P17=FALSE),Y17,4)</f>
      </c>
      <c r="N11" s="586">
        <f>+Y17</f>
      </c>
      <c r="P11" s="244" t="b">
        <v>0</v>
      </c>
      <c r="Q11" s="244" t="b">
        <v>0</v>
      </c>
      <c r="R11" s="244" t="b">
        <v>0</v>
      </c>
      <c r="S11" s="244" t="b">
        <v>0</v>
      </c>
      <c r="T11" s="244" t="b">
        <v>0</v>
      </c>
      <c r="U11" s="244" t="b">
        <v>0</v>
      </c>
      <c r="V11" s="244" t="b">
        <v>0</v>
      </c>
      <c r="W11" s="71">
        <f>+IF(AND(Q11=FALSE,R11=FALSE,S11=FALSE,T11=FALSE,U11=FALSE,V11=FALSE),0,IF(Q11=TRUE,4,IF(R11=TRUE,4,IF(S11=TRUE,4,IF(T11=TRUE,4,IF(U11=TRUE,4,IF(V11=TRUE,4,0)))))))</f>
        <v>0</v>
      </c>
      <c r="X11" s="71">
        <f>+IF(AND(Q11=FALSE,R11=FALSE,S11=FALSE,T11=FALSE,U11=FALSE,V11=FALSE),0,IF(Q11=TRUE,4,IF(R11=TRUE,4,IF(S11=TRUE,4,IF(T11=TRUE,4,IF(U11=TRUE,4,IF(V11=TRUE,4,0)))))))</f>
        <v>0</v>
      </c>
    </row>
    <row r="12" spans="1:22" ht="15" customHeight="1">
      <c r="A12" s="585"/>
      <c r="B12" s="585"/>
      <c r="C12" s="735"/>
      <c r="D12" s="735"/>
      <c r="E12" s="48"/>
      <c r="F12" s="26"/>
      <c r="G12" s="28"/>
      <c r="H12" s="28"/>
      <c r="I12" s="28"/>
      <c r="J12" s="28"/>
      <c r="K12" s="28"/>
      <c r="L12" s="177"/>
      <c r="M12" s="587"/>
      <c r="N12" s="587"/>
      <c r="P12" s="244"/>
      <c r="Q12" s="244"/>
      <c r="R12" s="244"/>
      <c r="S12" s="244"/>
      <c r="T12" s="244"/>
      <c r="U12" s="244"/>
      <c r="V12" s="244"/>
    </row>
    <row r="13" spans="1:24" ht="15" customHeight="1">
      <c r="A13" s="585"/>
      <c r="B13" s="585"/>
      <c r="C13" s="585" t="s">
        <v>181</v>
      </c>
      <c r="D13" s="585"/>
      <c r="E13" s="49"/>
      <c r="F13" s="152"/>
      <c r="G13" s="153"/>
      <c r="H13" s="153"/>
      <c r="I13" s="153"/>
      <c r="J13" s="153"/>
      <c r="K13" s="153"/>
      <c r="L13" s="176"/>
      <c r="M13" s="587"/>
      <c r="N13" s="587"/>
      <c r="P13" s="244" t="b">
        <v>0</v>
      </c>
      <c r="Q13" s="244" t="b">
        <v>0</v>
      </c>
      <c r="R13" s="244" t="b">
        <v>0</v>
      </c>
      <c r="S13" s="244" t="b">
        <v>0</v>
      </c>
      <c r="T13" s="244" t="b">
        <v>0</v>
      </c>
      <c r="U13" s="244" t="b">
        <v>0</v>
      </c>
      <c r="V13" s="244"/>
      <c r="W13" s="71">
        <f>+IF(AND(Q13=FALSE,R13=FALSE,S13=FALSE,T13=FALSE,U13=FALSE),0,IF(Q13=TRUE,4,IF(R13=TRUE,4,IF(S13=TRUE,4,IF(T13=TRUE,4,IF(U13=TRUE,4,0))))))</f>
        <v>0</v>
      </c>
      <c r="X13" s="71">
        <f>+IF(AND(Q13=FALSE,R13=FALSE,S13=FALSE,T13=FALSE,U13=FALSE),0,IF(Q13=TRUE,4,IF(R13=TRUE,4,IF(S13=TRUE,4,IF(T13=TRUE,4,IF(U13=TRUE,4,0))))))</f>
        <v>0</v>
      </c>
    </row>
    <row r="14" spans="1:22" ht="15" customHeight="1">
      <c r="A14" s="585"/>
      <c r="B14" s="585"/>
      <c r="C14" s="585"/>
      <c r="D14" s="585"/>
      <c r="E14" s="48"/>
      <c r="F14" s="26"/>
      <c r="G14" s="28"/>
      <c r="H14" s="28"/>
      <c r="I14" s="28"/>
      <c r="J14" s="28"/>
      <c r="K14" s="28"/>
      <c r="L14" s="177"/>
      <c r="M14" s="587"/>
      <c r="N14" s="587"/>
      <c r="P14" s="244"/>
      <c r="Q14" s="244"/>
      <c r="R14" s="244"/>
      <c r="S14" s="244"/>
      <c r="T14" s="244"/>
      <c r="U14" s="244"/>
      <c r="V14" s="244"/>
    </row>
    <row r="15" spans="1:24" ht="15" customHeight="1">
      <c r="A15" s="585"/>
      <c r="B15" s="585"/>
      <c r="C15" s="585" t="s">
        <v>182</v>
      </c>
      <c r="D15" s="585"/>
      <c r="E15" s="49"/>
      <c r="F15" s="152"/>
      <c r="G15" s="153"/>
      <c r="H15" s="153"/>
      <c r="I15" s="153"/>
      <c r="J15" s="153"/>
      <c r="K15" s="153"/>
      <c r="L15" s="176"/>
      <c r="M15" s="587"/>
      <c r="N15" s="587"/>
      <c r="P15" s="244" t="b">
        <v>0</v>
      </c>
      <c r="Q15" s="244" t="b">
        <v>0</v>
      </c>
      <c r="R15" s="244" t="b">
        <v>0</v>
      </c>
      <c r="S15" s="244" t="b">
        <v>0</v>
      </c>
      <c r="T15" s="244" t="b">
        <v>0</v>
      </c>
      <c r="U15" s="244" t="b">
        <v>0</v>
      </c>
      <c r="V15" s="244" t="b">
        <v>0</v>
      </c>
      <c r="W15" s="71">
        <f>+IF(AND(Q15=FALSE,R15=FALSE,S15=FALSE,T15=FALSE,U15=FALSE,V15=FALSE),0,IF(Q15=TRUE,4,IF(R15=TRUE,4,IF(S15=TRUE,4,IF(T15=TRUE,4,IF(U15=TRUE,4,IF(V15=TRUE,4,0)))))))</f>
        <v>0</v>
      </c>
      <c r="X15" s="71">
        <f>+IF(AND(Q15=FALSE,R15=FALSE,S15=FALSE,T15=FALSE,U15=FALSE,V15=FALSE),0,IF(Q15=TRUE,4,IF(R15=TRUE,4,IF(S15=TRUE,4,IF(T15=TRUE,4,IF(U15=TRUE,4,IF(V15=TRUE,4,0)))))))</f>
        <v>0</v>
      </c>
    </row>
    <row r="16" spans="1:22" ht="15" customHeight="1">
      <c r="A16" s="585"/>
      <c r="B16" s="585"/>
      <c r="C16" s="585"/>
      <c r="D16" s="585"/>
      <c r="E16" s="48"/>
      <c r="F16" s="26"/>
      <c r="G16" s="28"/>
      <c r="H16" s="28"/>
      <c r="I16" s="28"/>
      <c r="J16" s="28"/>
      <c r="K16" s="28"/>
      <c r="L16" s="177"/>
      <c r="M16" s="587"/>
      <c r="N16" s="587"/>
      <c r="P16" s="244"/>
      <c r="Q16" s="244"/>
      <c r="R16" s="244"/>
      <c r="S16" s="244"/>
      <c r="T16" s="244"/>
      <c r="U16" s="244"/>
      <c r="V16" s="244"/>
    </row>
    <row r="17" spans="1:25" ht="15" customHeight="1">
      <c r="A17" s="585"/>
      <c r="B17" s="585"/>
      <c r="C17" s="585" t="s">
        <v>183</v>
      </c>
      <c r="D17" s="585"/>
      <c r="E17" s="173"/>
      <c r="F17" s="39"/>
      <c r="G17" s="46"/>
      <c r="H17" s="46"/>
      <c r="I17" s="46"/>
      <c r="J17" s="46"/>
      <c r="K17" s="46"/>
      <c r="L17" s="47"/>
      <c r="M17" s="587"/>
      <c r="N17" s="587"/>
      <c r="P17" s="244" t="b">
        <v>0</v>
      </c>
      <c r="Q17" s="244" t="b">
        <v>0</v>
      </c>
      <c r="R17" s="244" t="b">
        <v>0</v>
      </c>
      <c r="S17" s="244" t="b">
        <v>0</v>
      </c>
      <c r="T17" s="244"/>
      <c r="U17" s="244"/>
      <c r="V17" s="244"/>
      <c r="W17" s="71">
        <f>+IF(AND(Q17=FALSE,R17=FALSE,S17=FALSE),0,IF(Q17=TRUE,4,IF(R17=TRUE,4,IF(S17=TRUE,4,0))))</f>
        <v>0</v>
      </c>
      <c r="X17" s="71">
        <f>+IF(AND(Q17=FALSE,R17=FALSE,S17=FALSE),0,IF(Q17=TRUE,4,IF(R17=TRUE,4,IF(S17=TRUE,4,0))))</f>
        <v>0</v>
      </c>
      <c r="Y17" s="3">
        <f>IF(W2&gt;=10,IF(MAX(X11,X13,X15,X17)=0,"",MAX(X11,X13,X15,X17)),IF(MAX(W11,W13,W15,W17)=0,"",MAX(W11,W13,W15,W17)))</f>
      </c>
    </row>
    <row r="18" spans="1:25" ht="15" customHeight="1">
      <c r="A18" s="585" t="s">
        <v>185</v>
      </c>
      <c r="B18" s="585"/>
      <c r="C18" s="585"/>
      <c r="D18" s="585"/>
      <c r="E18" s="49"/>
      <c r="F18" s="152"/>
      <c r="G18" s="153"/>
      <c r="H18" s="153"/>
      <c r="I18" s="153"/>
      <c r="J18" s="153"/>
      <c r="K18" s="153"/>
      <c r="L18" s="176"/>
      <c r="M18" s="586">
        <f>IF(AND(P18=FALSE),Y18,2)</f>
      </c>
      <c r="N18" s="586">
        <f>+Y18</f>
      </c>
      <c r="P18" s="244" t="b">
        <v>0</v>
      </c>
      <c r="Q18" s="244" t="b">
        <v>0</v>
      </c>
      <c r="R18" s="244" t="b">
        <v>0</v>
      </c>
      <c r="S18" s="244" t="b">
        <v>0</v>
      </c>
      <c r="T18" s="244" t="b">
        <v>0</v>
      </c>
      <c r="U18" s="244" t="b">
        <v>0</v>
      </c>
      <c r="V18" s="244"/>
      <c r="W18" s="71">
        <f>+IF(AND(Q18=FALSE,R18=FALSE,S18=FALSE,T18=FALSE,U18=FALSE),0,IF(Q18=TRUE,2,IF(R18=TRUE,2,IF(S18=TRUE,2,IF(T18=TRUE,2,IF(U18=TRUE,2,0))))))</f>
        <v>0</v>
      </c>
      <c r="X18" s="71">
        <f>+IF(AND(Q18=FALSE,R18=FALSE,S18=FALSE,T18=FALSE,U18=FALSE),0,IF(Q18=TRUE,2,IF(R18=TRUE,2,IF(S18=TRUE,2,IF(T18=TRUE,2,IF(U18=TRUE,2,0))))))</f>
        <v>0</v>
      </c>
      <c r="Y18" s="3">
        <f>IF(W2&gt;=10,IF(X18=0,"",X18),IF(W18=0,"",W18))</f>
      </c>
    </row>
    <row r="19" spans="1:22" ht="15" customHeight="1">
      <c r="A19" s="585"/>
      <c r="B19" s="585"/>
      <c r="C19" s="585"/>
      <c r="D19" s="585"/>
      <c r="E19" s="48"/>
      <c r="F19" s="26"/>
      <c r="G19" s="28"/>
      <c r="H19" s="28"/>
      <c r="I19" s="28"/>
      <c r="J19" s="28"/>
      <c r="K19" s="28"/>
      <c r="L19" s="177"/>
      <c r="M19" s="587"/>
      <c r="N19" s="587"/>
      <c r="P19" s="244"/>
      <c r="Q19" s="244"/>
      <c r="R19" s="244"/>
      <c r="S19" s="244"/>
      <c r="T19" s="244"/>
      <c r="U19" s="244"/>
      <c r="V19" s="244"/>
    </row>
    <row r="20" spans="1:24" ht="15" customHeight="1">
      <c r="A20" s="604" t="s">
        <v>498</v>
      </c>
      <c r="B20" s="604" t="s">
        <v>187</v>
      </c>
      <c r="C20" s="585" t="s">
        <v>190</v>
      </c>
      <c r="D20" s="585"/>
      <c r="E20" s="49"/>
      <c r="F20" s="152"/>
      <c r="G20" s="153"/>
      <c r="H20" s="153"/>
      <c r="I20" s="153"/>
      <c r="J20" s="153"/>
      <c r="K20" s="153"/>
      <c r="L20" s="176"/>
      <c r="M20" s="586">
        <f>IF(AND(P20=FALSE,P22=FALSE,P24=FALSE),Y24,1)</f>
      </c>
      <c r="N20" s="586">
        <f>+Y24</f>
      </c>
      <c r="P20" s="244" t="b">
        <v>0</v>
      </c>
      <c r="Q20" s="244" t="b">
        <v>0</v>
      </c>
      <c r="R20" s="244" t="b">
        <v>0</v>
      </c>
      <c r="S20" s="244" t="b">
        <v>0</v>
      </c>
      <c r="T20" s="244" t="b">
        <v>0</v>
      </c>
      <c r="U20" s="244" t="b">
        <v>0</v>
      </c>
      <c r="V20" s="244" t="b">
        <v>0</v>
      </c>
      <c r="W20" s="3">
        <v>0</v>
      </c>
      <c r="X20" s="71">
        <f>+IF(AND(Q20=FALSE,R20=FALSE,S20=FALSE,T20=FALSE,U20=FALSE,V20=FALSE),0,IF(Q20=TRUE,1,IF(R20=TRUE,1,IF(S20=TRUE,1,IF(T20=TRUE,1,IF(U20=TRUE,1,IF(V20=TRUE,1,0)))))))</f>
        <v>0</v>
      </c>
    </row>
    <row r="21" spans="1:22" ht="15" customHeight="1">
      <c r="A21" s="604"/>
      <c r="B21" s="604"/>
      <c r="C21" s="585"/>
      <c r="D21" s="585"/>
      <c r="E21" s="48"/>
      <c r="F21" s="26"/>
      <c r="G21" s="28"/>
      <c r="H21" s="28"/>
      <c r="I21" s="28"/>
      <c r="J21" s="28"/>
      <c r="K21" s="28"/>
      <c r="L21" s="177"/>
      <c r="M21" s="587"/>
      <c r="N21" s="587"/>
      <c r="P21" s="244"/>
      <c r="Q21" s="244"/>
      <c r="R21" s="244"/>
      <c r="S21" s="244"/>
      <c r="T21" s="244"/>
      <c r="U21" s="244"/>
      <c r="V21" s="244"/>
    </row>
    <row r="22" spans="1:24" ht="15" customHeight="1">
      <c r="A22" s="604"/>
      <c r="B22" s="604"/>
      <c r="C22" s="585" t="s">
        <v>181</v>
      </c>
      <c r="D22" s="585"/>
      <c r="E22" s="49"/>
      <c r="F22" s="152"/>
      <c r="G22" s="153"/>
      <c r="H22" s="153"/>
      <c r="I22" s="153"/>
      <c r="J22" s="153"/>
      <c r="K22" s="153"/>
      <c r="L22" s="176"/>
      <c r="M22" s="587"/>
      <c r="N22" s="587"/>
      <c r="P22" s="244" t="b">
        <v>0</v>
      </c>
      <c r="Q22" s="244" t="b">
        <v>0</v>
      </c>
      <c r="R22" s="244" t="b">
        <v>0</v>
      </c>
      <c r="S22" s="244" t="b">
        <v>0</v>
      </c>
      <c r="T22" s="244" t="b">
        <v>0</v>
      </c>
      <c r="U22" s="244" t="b">
        <v>0</v>
      </c>
      <c r="V22" s="244"/>
      <c r="W22" s="3">
        <v>0</v>
      </c>
      <c r="X22" s="71">
        <f>+IF(AND(Q22=FALSE,R22=FALSE,S22=FALSE,T22=FALSE,U22=FALSE),0,IF(Q22=TRUE,1,IF(R22=TRUE,1,IF(S22=TRUE,1,IF(T22=TRUE,1,IF(U22=TRUE,1,0))))))</f>
        <v>0</v>
      </c>
    </row>
    <row r="23" spans="1:22" ht="15" customHeight="1">
      <c r="A23" s="604"/>
      <c r="B23" s="604"/>
      <c r="C23" s="585"/>
      <c r="D23" s="585"/>
      <c r="E23" s="48"/>
      <c r="F23" s="26"/>
      <c r="G23" s="28"/>
      <c r="H23" s="28"/>
      <c r="I23" s="28"/>
      <c r="J23" s="28"/>
      <c r="K23" s="28"/>
      <c r="L23" s="177"/>
      <c r="M23" s="587"/>
      <c r="N23" s="587"/>
      <c r="P23" s="244"/>
      <c r="Q23" s="244"/>
      <c r="R23" s="244"/>
      <c r="S23" s="244"/>
      <c r="T23" s="244"/>
      <c r="U23" s="244"/>
      <c r="V23" s="244"/>
    </row>
    <row r="24" spans="1:25" ht="15" customHeight="1">
      <c r="A24" s="604"/>
      <c r="B24" s="604"/>
      <c r="C24" s="585" t="s">
        <v>182</v>
      </c>
      <c r="D24" s="585"/>
      <c r="E24" s="49"/>
      <c r="F24" s="152"/>
      <c r="G24" s="153"/>
      <c r="H24" s="153"/>
      <c r="I24" s="153"/>
      <c r="J24" s="153"/>
      <c r="K24" s="153"/>
      <c r="L24" s="176"/>
      <c r="M24" s="587"/>
      <c r="N24" s="587"/>
      <c r="P24" s="244" t="b">
        <v>0</v>
      </c>
      <c r="Q24" s="244" t="b">
        <v>0</v>
      </c>
      <c r="R24" s="244" t="b">
        <v>0</v>
      </c>
      <c r="S24" s="244" t="b">
        <v>0</v>
      </c>
      <c r="T24" s="244" t="b">
        <v>0</v>
      </c>
      <c r="U24" s="244" t="b">
        <v>0</v>
      </c>
      <c r="V24" s="244" t="b">
        <v>0</v>
      </c>
      <c r="W24" s="3">
        <v>0</v>
      </c>
      <c r="X24" s="71">
        <f>+IF(AND(Q24=FALSE,R24=FALSE,S24=FALSE,T24=FALSE,U24=FALSE,V24=FALSE),0,IF(Q24=TRUE,1,IF(R24=TRUE,1,IF(S24=TRUE,1,IF(T24=TRUE,1,IF(U24=TRUE,1,IF(V24=TRUE,1,0)))))))</f>
        <v>0</v>
      </c>
      <c r="Y24" s="3">
        <f>IF(W2&gt;=10,IF(MAX(X20,X22,X24)=0,"",MAX(X20,X22,X24)),IF(MAX(W20,W22,W24)=0,"",MAX(W20,W22,W24)))</f>
      </c>
    </row>
    <row r="25" spans="1:22" ht="15" customHeight="1">
      <c r="A25" s="604"/>
      <c r="B25" s="604"/>
      <c r="C25" s="585"/>
      <c r="D25" s="585"/>
      <c r="E25" s="48"/>
      <c r="F25" s="26"/>
      <c r="G25" s="28"/>
      <c r="H25" s="28"/>
      <c r="I25" s="28"/>
      <c r="J25" s="28"/>
      <c r="K25" s="28"/>
      <c r="L25" s="177"/>
      <c r="M25" s="587"/>
      <c r="N25" s="587"/>
      <c r="P25" s="244"/>
      <c r="Q25" s="244"/>
      <c r="R25" s="244"/>
      <c r="S25" s="244"/>
      <c r="T25" s="244"/>
      <c r="U25" s="244"/>
      <c r="V25" s="244"/>
    </row>
    <row r="26" spans="1:25" ht="15" customHeight="1">
      <c r="A26" s="604"/>
      <c r="B26" s="604"/>
      <c r="C26" s="585" t="s">
        <v>186</v>
      </c>
      <c r="D26" s="585"/>
      <c r="E26" s="49"/>
      <c r="F26" s="152"/>
      <c r="G26" s="153"/>
      <c r="H26" s="153"/>
      <c r="I26" s="153"/>
      <c r="J26" s="153"/>
      <c r="K26" s="153"/>
      <c r="L26" s="176"/>
      <c r="M26" s="586">
        <f>IF(AND(P26=FALSE),Y26,1)</f>
      </c>
      <c r="N26" s="586">
        <f>+Y26</f>
      </c>
      <c r="P26" s="244" t="b">
        <v>0</v>
      </c>
      <c r="Q26" s="244" t="b">
        <v>0</v>
      </c>
      <c r="R26" s="244" t="b">
        <v>0</v>
      </c>
      <c r="S26" s="244" t="b">
        <v>0</v>
      </c>
      <c r="T26" s="244" t="b">
        <v>0</v>
      </c>
      <c r="U26" s="244" t="b">
        <v>0</v>
      </c>
      <c r="V26" s="244"/>
      <c r="W26" s="3">
        <v>0</v>
      </c>
      <c r="X26" s="71">
        <f>+IF(AND(Q26=FALSE,R26=FALSE,S26=FALSE,T26=FALSE,U26=FALSE),0,IF(Q26=TRUE,1,IF(R26=TRUE,1,IF(S26=TRUE,1,IF(T26=TRUE,1,IF(U26=TRUE,1,0))))))</f>
        <v>0</v>
      </c>
      <c r="Y26" s="3">
        <f>IF(W2&gt;=10,IF(X26=0,"",X26),IF(W26=0,"",W26))</f>
      </c>
    </row>
    <row r="27" spans="1:22" ht="15" customHeight="1">
      <c r="A27" s="604"/>
      <c r="B27" s="604"/>
      <c r="C27" s="585"/>
      <c r="D27" s="585"/>
      <c r="E27" s="48"/>
      <c r="F27" s="26"/>
      <c r="G27" s="28"/>
      <c r="H27" s="28"/>
      <c r="I27" s="28"/>
      <c r="J27" s="28"/>
      <c r="K27" s="28"/>
      <c r="L27" s="177"/>
      <c r="M27" s="587"/>
      <c r="N27" s="587"/>
      <c r="P27" s="244"/>
      <c r="Q27" s="244"/>
      <c r="R27" s="244"/>
      <c r="S27" s="244"/>
      <c r="T27" s="244"/>
      <c r="U27" s="244"/>
      <c r="V27" s="244"/>
    </row>
    <row r="28" spans="1:25" ht="15" customHeight="1">
      <c r="A28" s="604"/>
      <c r="B28" s="585" t="s">
        <v>189</v>
      </c>
      <c r="C28" s="585"/>
      <c r="D28" s="585"/>
      <c r="E28" s="173"/>
      <c r="F28" s="39"/>
      <c r="G28" s="46"/>
      <c r="H28" s="46"/>
      <c r="I28" s="46"/>
      <c r="J28" s="46"/>
      <c r="K28" s="46"/>
      <c r="L28" s="47"/>
      <c r="M28" s="21">
        <f>IF(AND(P28=FALSE),Y28,1)</f>
      </c>
      <c r="N28" s="21">
        <f>+Y28</f>
      </c>
      <c r="P28" s="244" t="b">
        <v>0</v>
      </c>
      <c r="Q28" s="244" t="b">
        <v>0</v>
      </c>
      <c r="R28" s="244" t="b">
        <v>0</v>
      </c>
      <c r="S28" s="244"/>
      <c r="T28" s="244"/>
      <c r="U28" s="244"/>
      <c r="V28" s="244"/>
      <c r="W28" s="3">
        <v>0</v>
      </c>
      <c r="X28" s="71">
        <f>+IF(AND(Q28=FALSE,R28=FALSE),0,IF(Q28=TRUE,1,IF(R28=TRUE,1,0)))</f>
        <v>0</v>
      </c>
      <c r="Y28" s="3">
        <f>IF(W2&gt;=10,IF(X28=0,"",X28),IF(W28=0,"",W28))</f>
      </c>
    </row>
    <row r="29" spans="1:25" ht="15" customHeight="1">
      <c r="A29" s="736" t="s">
        <v>196</v>
      </c>
      <c r="B29" s="172" t="s">
        <v>191</v>
      </c>
      <c r="C29" s="586" t="s">
        <v>192</v>
      </c>
      <c r="D29" s="586"/>
      <c r="E29" s="173"/>
      <c r="F29" s="39"/>
      <c r="G29" s="46"/>
      <c r="H29" s="46"/>
      <c r="I29" s="46"/>
      <c r="J29" s="46"/>
      <c r="K29" s="46"/>
      <c r="L29" s="47"/>
      <c r="M29" s="21">
        <f>IF(AND(P29=FALSE),Y29,2)</f>
      </c>
      <c r="N29" s="21">
        <f>+Y29</f>
      </c>
      <c r="P29" s="244" t="b">
        <v>0</v>
      </c>
      <c r="Q29" s="244" t="b">
        <v>0</v>
      </c>
      <c r="R29" s="244" t="b">
        <v>0</v>
      </c>
      <c r="S29" s="244" t="b">
        <v>0</v>
      </c>
      <c r="T29" s="244" t="b">
        <v>0</v>
      </c>
      <c r="U29" s="244"/>
      <c r="V29" s="244"/>
      <c r="W29" s="71">
        <f>+IF(AND(Q29=FALSE,R29=FALSE,S29=FALSE,T29=FALSE),0,IF(Q29=TRUE,2,IF(R29=TRUE,2,IF(S29=TRUE,2,IF(T29=TRUE,2,0)))))</f>
        <v>0</v>
      </c>
      <c r="X29" s="71">
        <f>+IF(AND(Q29=FALSE,R29=FALSE,S29=FALSE,T29=FALSE),0,IF(Q29=TRUE,2,IF(R29=TRUE,2,IF(S29=TRUE,2,IF(T29=TRUE,2,0)))))</f>
        <v>0</v>
      </c>
      <c r="Y29" s="3">
        <f>IF(W2&gt;=10,IF(X29=0,"",X29),IF(W29=0,"",W29))</f>
      </c>
    </row>
    <row r="30" spans="1:24" ht="15" customHeight="1">
      <c r="A30" s="736"/>
      <c r="B30" s="585" t="s">
        <v>195</v>
      </c>
      <c r="C30" s="586" t="s">
        <v>193</v>
      </c>
      <c r="D30" s="586"/>
      <c r="E30" s="173"/>
      <c r="F30" s="39"/>
      <c r="G30" s="46"/>
      <c r="H30" s="46"/>
      <c r="I30" s="46"/>
      <c r="J30" s="46"/>
      <c r="K30" s="46"/>
      <c r="L30" s="47"/>
      <c r="M30" s="586">
        <f>IF(AND(P30=FALSE,P31=FALSE),Y31,2)</f>
      </c>
      <c r="N30" s="586">
        <f>+Y31</f>
      </c>
      <c r="P30" s="244" t="b">
        <v>0</v>
      </c>
      <c r="Q30" s="244" t="b">
        <v>0</v>
      </c>
      <c r="R30" s="244" t="b">
        <v>0</v>
      </c>
      <c r="S30" s="244"/>
      <c r="T30" s="244"/>
      <c r="U30" s="244"/>
      <c r="V30" s="244"/>
      <c r="W30" s="71">
        <f>+IF(AND(Q30=FALSE,R30=FALSE),0,IF(Q30=TRUE,2,IF(R30=TRUE,2,0)))</f>
        <v>0</v>
      </c>
      <c r="X30" s="71">
        <f>+IF(AND(Q30=FALSE,R30=FALSE),0,IF(Q30=TRUE,2,IF(R30=TRUE,2,0)))</f>
        <v>0</v>
      </c>
    </row>
    <row r="31" spans="1:25" ht="15" customHeight="1">
      <c r="A31" s="736"/>
      <c r="B31" s="585"/>
      <c r="C31" s="585" t="s">
        <v>194</v>
      </c>
      <c r="D31" s="585"/>
      <c r="E31" s="49"/>
      <c r="F31" s="152"/>
      <c r="G31" s="153"/>
      <c r="H31" s="153"/>
      <c r="I31" s="153"/>
      <c r="J31" s="153"/>
      <c r="K31" s="153"/>
      <c r="L31" s="176"/>
      <c r="M31" s="587"/>
      <c r="N31" s="587"/>
      <c r="P31" s="244" t="b">
        <v>0</v>
      </c>
      <c r="Q31" s="244" t="b">
        <v>0</v>
      </c>
      <c r="R31" s="244" t="b">
        <v>0</v>
      </c>
      <c r="S31" s="244" t="b">
        <v>0</v>
      </c>
      <c r="T31" s="244" t="b">
        <v>0</v>
      </c>
      <c r="U31" s="244" t="b">
        <v>0</v>
      </c>
      <c r="V31" s="244" t="b">
        <v>0</v>
      </c>
      <c r="W31" s="71">
        <f>+IF(AND(Q31=FALSE,R31=FALSE,S31=FALSE,T31=FALSE,U31=FALSE,V31=FALSE),0,IF(Q31=TRUE,2,IF(R31=TRUE,2,IF(S31=TRUE,2,IF(T31=TRUE,2,IF(U31=TRUE,2,IF(V31=TRUE,2,0)))))))</f>
        <v>0</v>
      </c>
      <c r="X31" s="71">
        <f>+IF(AND(Q31=FALSE,R31=FALSE,S31=FALSE,T31=FALSE,U31=FALSE,V31=FALSE),0,IF(Q31=TRUE,2,IF(R31=TRUE,2,IF(S31=TRUE,2,IF(T31=TRUE,2,IF(U31=TRUE,2,IF(V31=TRUE,2,0)))))))</f>
        <v>0</v>
      </c>
      <c r="Y31" s="3">
        <f>IF(W2&gt;=10,IF(MAX(X30,X31)=0,"",MAX(X30,X31)),IF(MAX(W30:W31)=0,"",MAX(W30,W31)))</f>
      </c>
    </row>
    <row r="32" spans="1:22" ht="15" customHeight="1">
      <c r="A32" s="736"/>
      <c r="B32" s="585"/>
      <c r="C32" s="585"/>
      <c r="D32" s="585"/>
      <c r="E32" s="48"/>
      <c r="F32" s="26"/>
      <c r="G32" s="28"/>
      <c r="H32" s="28"/>
      <c r="I32" s="28"/>
      <c r="J32" s="28"/>
      <c r="K32" s="28"/>
      <c r="L32" s="177"/>
      <c r="M32" s="587"/>
      <c r="N32" s="587"/>
      <c r="P32" s="244"/>
      <c r="Q32" s="244"/>
      <c r="R32" s="244"/>
      <c r="S32" s="244"/>
      <c r="T32" s="244"/>
      <c r="U32" s="244"/>
      <c r="V32" s="244"/>
    </row>
    <row r="33" spans="1:25" ht="15" customHeight="1">
      <c r="A33" s="736" t="s">
        <v>200</v>
      </c>
      <c r="B33" s="737" t="s">
        <v>197</v>
      </c>
      <c r="C33" s="586" t="s">
        <v>191</v>
      </c>
      <c r="D33" s="586"/>
      <c r="E33" s="173"/>
      <c r="F33" s="39"/>
      <c r="G33" s="46"/>
      <c r="H33" s="46"/>
      <c r="I33" s="46"/>
      <c r="J33" s="46"/>
      <c r="K33" s="46"/>
      <c r="L33" s="47"/>
      <c r="M33" s="21">
        <f>IF(AND(P33=FALSE),Y33,2)</f>
      </c>
      <c r="N33" s="21">
        <f>+Y33</f>
      </c>
      <c r="P33" s="244" t="b">
        <v>0</v>
      </c>
      <c r="Q33" s="244" t="b">
        <v>0</v>
      </c>
      <c r="R33" s="244" t="b">
        <v>0</v>
      </c>
      <c r="S33" s="244" t="b">
        <v>0</v>
      </c>
      <c r="T33" s="244"/>
      <c r="U33" s="244"/>
      <c r="V33" s="244"/>
      <c r="W33" s="71">
        <f>+IF(AND(Q33=FALSE,R33=FALSE,S33=FALSE),0,IF(Q33=TRUE,2,IF(R33=TRUE,2,IF(S33=TRUE,2,0))))</f>
        <v>0</v>
      </c>
      <c r="X33" s="71">
        <f>+IF(AND(Q33=FALSE,R33=FALSE,S33=FALSE),0,IF(Q33=TRUE,2,IF(R33=TRUE,2,IF(S33=TRUE,2,0))))</f>
        <v>0</v>
      </c>
      <c r="Y33" s="3">
        <f>IF(W2&gt;=10,IF(X33=0,"",X33),IF(W33=0,"",W33))</f>
      </c>
    </row>
    <row r="34" spans="1:25" ht="15" customHeight="1">
      <c r="A34" s="736"/>
      <c r="B34" s="738"/>
      <c r="C34" s="586" t="s">
        <v>198</v>
      </c>
      <c r="D34" s="586"/>
      <c r="E34" s="173"/>
      <c r="F34" s="39"/>
      <c r="G34" s="46"/>
      <c r="H34" s="46"/>
      <c r="I34" s="46"/>
      <c r="J34" s="46"/>
      <c r="K34" s="46"/>
      <c r="L34" s="47"/>
      <c r="M34" s="21">
        <f>IF(AND(P34=FALSE),Y34,1)</f>
      </c>
      <c r="N34" s="21">
        <f>+Y34</f>
      </c>
      <c r="P34" s="244" t="b">
        <v>0</v>
      </c>
      <c r="Q34" s="244" t="b">
        <v>0</v>
      </c>
      <c r="R34" s="244" t="b">
        <v>0</v>
      </c>
      <c r="S34" s="244" t="b">
        <v>0</v>
      </c>
      <c r="T34" s="244"/>
      <c r="U34" s="244"/>
      <c r="V34" s="244"/>
      <c r="W34" s="3">
        <v>0</v>
      </c>
      <c r="X34" s="71">
        <f>+IF(AND(Q34=FALSE,R34=FALSE,S34=FALSE),0,IF(Q34=TRUE,1,IF(R34=TRUE,1,IF(S34=TRUE,1,0))))</f>
        <v>0</v>
      </c>
      <c r="Y34" s="3">
        <f>IF(W2&gt;=10,IF(X34=0,"",X34),IF(W34=0,"",W34))</f>
      </c>
    </row>
    <row r="35" spans="1:25" ht="15" customHeight="1">
      <c r="A35" s="736"/>
      <c r="B35" s="171" t="s">
        <v>199</v>
      </c>
      <c r="C35" s="735"/>
      <c r="D35" s="735"/>
      <c r="E35" s="173"/>
      <c r="F35" s="39"/>
      <c r="G35" s="46"/>
      <c r="H35" s="46"/>
      <c r="I35" s="46"/>
      <c r="J35" s="46"/>
      <c r="K35" s="46"/>
      <c r="L35" s="47"/>
      <c r="M35" s="21">
        <f>IF(AND(P35=FALSE),Y35,2)</f>
      </c>
      <c r="N35" s="21">
        <f>+Y35</f>
      </c>
      <c r="P35" s="244" t="b">
        <v>0</v>
      </c>
      <c r="Q35" s="244" t="b">
        <v>0</v>
      </c>
      <c r="R35" s="244" t="b">
        <v>0</v>
      </c>
      <c r="S35" s="244" t="b">
        <v>0</v>
      </c>
      <c r="T35" s="244" t="b">
        <v>0</v>
      </c>
      <c r="U35" s="244"/>
      <c r="V35" s="244"/>
      <c r="W35" s="71">
        <f>+IF(AND(Q35=FALSE,R35=FALSE,S35=FALSE,T35=FALSE),0,IF(Q35=TRUE,2,IF(R35=TRUE,2,IF(S35=TRUE,2,IF(T35=TRUE,2,0)))))</f>
        <v>0</v>
      </c>
      <c r="X35" s="71">
        <f>+IF(AND(Q35=FALSE,R35=FALSE,S35=FALSE,T35=FALSE),0,IF(Q35=TRUE,2,IF(R35=TRUE,2,IF(S35=TRUE,2,IF(T35=TRUE,2,0)))))</f>
        <v>0</v>
      </c>
      <c r="Y35" s="3">
        <f>IF(W2&gt;=10,IF(X35=0,"",X35),IF(W35=0,"",W35))</f>
      </c>
    </row>
    <row r="36" spans="5:14" ht="15" customHeight="1">
      <c r="E36" s="29"/>
      <c r="F36" s="9"/>
      <c r="G36" s="9"/>
      <c r="H36" s="9"/>
      <c r="I36" s="9"/>
      <c r="J36" s="9"/>
      <c r="K36" s="722" t="s">
        <v>201</v>
      </c>
      <c r="L36" s="722"/>
      <c r="M36" s="76">
        <f>+IF(SUM(M5:M35)=0,"",SUM(M5:M35))</f>
      </c>
      <c r="N36" s="76">
        <f>+IF(SUM(N5:N35)=0,"",SUM(N5:N35))</f>
      </c>
    </row>
    <row r="37" spans="3:22" ht="15" customHeight="1">
      <c r="C37" s="720" t="s">
        <v>145</v>
      </c>
      <c r="D37" s="721"/>
      <c r="E37" s="721"/>
      <c r="F37" s="721"/>
      <c r="G37" s="721"/>
      <c r="H37" s="721"/>
      <c r="I37" s="721"/>
      <c r="J37" s="721"/>
      <c r="K37" s="721"/>
      <c r="L37" s="721"/>
      <c r="M37" s="254">
        <f>IF(M36="","",IF(N36="",1,MAX(0.7,1-N36/M36)))</f>
      </c>
      <c r="N37" s="76"/>
      <c r="P37" s="894" t="s">
        <v>324</v>
      </c>
      <c r="Q37" s="895"/>
      <c r="R37" s="895"/>
      <c r="S37" s="895"/>
      <c r="T37" s="895"/>
      <c r="U37" s="892">
        <f>IF(N36="",1,1-(N36/M36))</f>
        <v>1</v>
      </c>
      <c r="V37" s="893"/>
    </row>
    <row r="38" spans="20:25" ht="15" customHeight="1">
      <c r="T38" s="363" t="s">
        <v>722</v>
      </c>
      <c r="V38" s="181"/>
      <c r="W38" s="181"/>
      <c r="X38" s="181"/>
      <c r="Y38" s="181"/>
    </row>
    <row r="39" spans="1:25" ht="15" customHeight="1">
      <c r="A39" s="600" t="s">
        <v>503</v>
      </c>
      <c r="B39" s="600"/>
      <c r="C39" s="600"/>
      <c r="D39" s="600"/>
      <c r="E39" s="600"/>
      <c r="F39" s="600"/>
      <c r="G39" s="600"/>
      <c r="H39" s="600"/>
      <c r="I39" s="600"/>
      <c r="J39" s="600"/>
      <c r="K39" s="600"/>
      <c r="L39" s="600"/>
      <c r="M39" s="600"/>
      <c r="N39" s="600"/>
      <c r="V39" s="181"/>
      <c r="W39" s="181"/>
      <c r="X39" s="181"/>
      <c r="Y39" s="181"/>
    </row>
    <row r="40" spans="1:25" ht="15" customHeight="1">
      <c r="A40" s="600"/>
      <c r="B40" s="600"/>
      <c r="C40" s="600"/>
      <c r="D40" s="600"/>
      <c r="E40" s="600"/>
      <c r="F40" s="600"/>
      <c r="G40" s="600"/>
      <c r="H40" s="600"/>
      <c r="I40" s="600"/>
      <c r="J40" s="600"/>
      <c r="K40" s="600"/>
      <c r="L40" s="600"/>
      <c r="M40" s="600"/>
      <c r="N40" s="600"/>
      <c r="V40" s="181"/>
      <c r="W40" s="181"/>
      <c r="X40" s="181"/>
      <c r="Y40" s="181"/>
    </row>
    <row r="41" spans="22:28" ht="15" customHeight="1">
      <c r="V41" s="181"/>
      <c r="W41" s="181"/>
      <c r="X41" s="181"/>
      <c r="Y41" s="181"/>
      <c r="AB41" s="372"/>
    </row>
    <row r="42" spans="1:25" ht="15" customHeight="1">
      <c r="A42" s="896" t="s">
        <v>423</v>
      </c>
      <c r="B42" s="889"/>
      <c r="C42" s="897"/>
      <c r="D42" s="896" t="s">
        <v>424</v>
      </c>
      <c r="E42" s="889"/>
      <c r="F42" s="889"/>
      <c r="V42" s="181"/>
      <c r="W42" s="181"/>
      <c r="X42" s="181"/>
      <c r="Y42" s="181"/>
    </row>
    <row r="43" spans="1:25" ht="15" customHeight="1">
      <c r="A43" s="901"/>
      <c r="B43" s="902"/>
      <c r="C43" s="903"/>
      <c r="D43" s="898">
        <f>M37</f>
      </c>
      <c r="E43" s="899"/>
      <c r="F43" s="900"/>
      <c r="V43" s="181"/>
      <c r="W43" s="181"/>
      <c r="X43" s="181"/>
      <c r="Y43" s="181"/>
    </row>
    <row r="45" spans="1:14" ht="15" customHeight="1">
      <c r="A45" s="910" t="s">
        <v>482</v>
      </c>
      <c r="B45" s="889"/>
      <c r="C45" s="889"/>
      <c r="D45" s="889"/>
      <c r="E45" s="889"/>
      <c r="F45" s="889"/>
      <c r="G45" s="889"/>
      <c r="H45" s="889"/>
      <c r="I45" s="889"/>
      <c r="J45" s="889"/>
      <c r="K45" s="897"/>
      <c r="L45" s="888" t="s">
        <v>425</v>
      </c>
      <c r="M45" s="889"/>
      <c r="N45" s="889"/>
    </row>
    <row r="46" spans="1:19" ht="15" customHeight="1">
      <c r="A46" s="299"/>
      <c r="B46" s="909" t="s">
        <v>502</v>
      </c>
      <c r="C46" s="909"/>
      <c r="D46" s="909"/>
      <c r="E46" s="909"/>
      <c r="F46" s="909"/>
      <c r="G46" s="909"/>
      <c r="H46" s="909"/>
      <c r="I46" s="909"/>
      <c r="J46" s="909"/>
      <c r="K46" s="639"/>
      <c r="L46" s="904">
        <f>IF(D43="","",IF(P46=2,D43,MIN(0.9,D43)))</f>
      </c>
      <c r="M46" s="566"/>
      <c r="N46" s="905"/>
      <c r="P46" s="117"/>
      <c r="S46" s="3" t="s">
        <v>512</v>
      </c>
    </row>
    <row r="47" spans="1:19" ht="15" customHeight="1">
      <c r="A47" s="298"/>
      <c r="B47" s="597" t="s">
        <v>501</v>
      </c>
      <c r="C47" s="597"/>
      <c r="D47" s="597"/>
      <c r="E47" s="597"/>
      <c r="F47" s="597"/>
      <c r="G47" s="597"/>
      <c r="H47" s="597"/>
      <c r="I47" s="597"/>
      <c r="J47" s="597"/>
      <c r="K47" s="583"/>
      <c r="L47" s="906"/>
      <c r="M47" s="907"/>
      <c r="N47" s="908"/>
      <c r="S47" s="3" t="s">
        <v>500</v>
      </c>
    </row>
    <row r="48" ht="15" customHeight="1">
      <c r="A48" s="95"/>
    </row>
    <row r="49" spans="1:14" ht="12" customHeight="1">
      <c r="A49" s="206"/>
      <c r="B49" s="206"/>
      <c r="C49" s="206"/>
      <c r="D49" s="219"/>
      <c r="E49" s="219"/>
      <c r="F49" s="219"/>
      <c r="G49" s="219"/>
      <c r="H49" s="91"/>
      <c r="I49" s="29"/>
      <c r="J49" s="29"/>
      <c r="K49" s="29"/>
      <c r="L49" s="29"/>
      <c r="M49" s="29"/>
      <c r="N49" s="91"/>
    </row>
    <row r="50" spans="7:9" ht="15" customHeight="1">
      <c r="G50" s="3" t="s">
        <v>504</v>
      </c>
      <c r="H50" s="444" t="s">
        <v>232</v>
      </c>
      <c r="I50" s="445"/>
    </row>
    <row r="78" ht="15" customHeight="1">
      <c r="R78" s="3">
        <v>1</v>
      </c>
    </row>
  </sheetData>
  <sheetProtection sheet="1" objects="1" scenarios="1" formatCells="0" formatColumns="0" formatRows="0"/>
  <mergeCells count="71">
    <mergeCell ref="A42:C42"/>
    <mergeCell ref="D42:F42"/>
    <mergeCell ref="D43:F43"/>
    <mergeCell ref="A43:C43"/>
    <mergeCell ref="L46:N47"/>
    <mergeCell ref="B46:K46"/>
    <mergeCell ref="B47:K47"/>
    <mergeCell ref="A45:K45"/>
    <mergeCell ref="U37:V37"/>
    <mergeCell ref="B20:B27"/>
    <mergeCell ref="A20:A28"/>
    <mergeCell ref="B28:D28"/>
    <mergeCell ref="M20:M25"/>
    <mergeCell ref="N20:N25"/>
    <mergeCell ref="C29:D29"/>
    <mergeCell ref="C24:D25"/>
    <mergeCell ref="C22:D23"/>
    <mergeCell ref="P37:T37"/>
    <mergeCell ref="M5:M6"/>
    <mergeCell ref="N5:N6"/>
    <mergeCell ref="N18:N19"/>
    <mergeCell ref="N11:N17"/>
    <mergeCell ref="N7:N8"/>
    <mergeCell ref="M1:N1"/>
    <mergeCell ref="J2:N2"/>
    <mergeCell ref="W3:W4"/>
    <mergeCell ref="F3:L4"/>
    <mergeCell ref="A3:B4"/>
    <mergeCell ref="C3:D4"/>
    <mergeCell ref="M3:M4"/>
    <mergeCell ref="N3:N4"/>
    <mergeCell ref="H50:I50"/>
    <mergeCell ref="C33:D33"/>
    <mergeCell ref="C30:D30"/>
    <mergeCell ref="C31:D32"/>
    <mergeCell ref="C34:D34"/>
    <mergeCell ref="C35:D35"/>
    <mergeCell ref="C37:L37"/>
    <mergeCell ref="K36:L36"/>
    <mergeCell ref="A39:N40"/>
    <mergeCell ref="L45:N45"/>
    <mergeCell ref="A11:B17"/>
    <mergeCell ref="M18:M19"/>
    <mergeCell ref="M7:M8"/>
    <mergeCell ref="M11:M17"/>
    <mergeCell ref="C11:D12"/>
    <mergeCell ref="M9:M10"/>
    <mergeCell ref="A18:D19"/>
    <mergeCell ref="C9:D10"/>
    <mergeCell ref="C13:D14"/>
    <mergeCell ref="C15:D16"/>
    <mergeCell ref="Y3:AA4"/>
    <mergeCell ref="X3:X4"/>
    <mergeCell ref="A33:A35"/>
    <mergeCell ref="B33:B34"/>
    <mergeCell ref="A29:A32"/>
    <mergeCell ref="C20:D21"/>
    <mergeCell ref="B30:B32"/>
    <mergeCell ref="C26:D27"/>
    <mergeCell ref="A5:B6"/>
    <mergeCell ref="A7:B10"/>
    <mergeCell ref="C17:D17"/>
    <mergeCell ref="E3:E4"/>
    <mergeCell ref="N30:N32"/>
    <mergeCell ref="N9:N10"/>
    <mergeCell ref="M30:M32"/>
    <mergeCell ref="N26:N27"/>
    <mergeCell ref="C6:D6"/>
    <mergeCell ref="C5:D5"/>
    <mergeCell ref="C7:D8"/>
    <mergeCell ref="M26:M27"/>
  </mergeCells>
  <printOptions/>
  <pageMargins left="0.984251968503937" right="0.5905511811023623" top="0.5905511811023623" bottom="0.5905511811023623" header="0.31496062992125984" footer="0.1968503937007874"/>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S154"/>
  <sheetViews>
    <sheetView zoomScalePageLayoutView="0" workbookViewId="0" topLeftCell="A17">
      <selection activeCell="C49" sqref="C49"/>
    </sheetView>
  </sheetViews>
  <sheetFormatPr defaultColWidth="5.77734375" defaultRowHeight="15" customHeight="1"/>
  <cols>
    <col min="1" max="1" width="5.77734375" style="3" customWidth="1"/>
    <col min="2" max="5" width="6.77734375" style="3" customWidth="1"/>
    <col min="6" max="7" width="6.10546875" style="3" customWidth="1"/>
    <col min="8" max="8" width="5.77734375" style="3" customWidth="1"/>
    <col min="9" max="12" width="6.77734375" style="3" customWidth="1"/>
    <col min="13" max="13" width="5.77734375" style="3" customWidth="1"/>
    <col min="14" max="14" width="7.6640625" style="3" bestFit="1" customWidth="1"/>
    <col min="15" max="15" width="6.88671875" style="3" bestFit="1" customWidth="1"/>
    <col min="16" max="17" width="6.77734375" style="3" bestFit="1" customWidth="1"/>
    <col min="18" max="18" width="5.77734375" style="3" customWidth="1"/>
    <col min="19" max="19" width="6.77734375" style="3" bestFit="1" customWidth="1"/>
    <col min="20" max="16384" width="5.77734375" style="3" customWidth="1"/>
  </cols>
  <sheetData>
    <row r="1" spans="1:11" ht="15" customHeight="1">
      <c r="A1" s="92" t="s">
        <v>318</v>
      </c>
      <c r="I1" s="76" t="s">
        <v>38</v>
      </c>
      <c r="J1" s="820">
        <f>+'報告書'!K1</f>
        <v>45474</v>
      </c>
      <c r="K1" s="638"/>
    </row>
    <row r="2" spans="1:11" ht="15" customHeight="1">
      <c r="A2" s="3" t="s">
        <v>106</v>
      </c>
      <c r="E2" s="303"/>
      <c r="H2" s="930">
        <f>IF('改修劣化'!J2="","",'改修劣化'!J2)</f>
      </c>
      <c r="I2" s="931"/>
      <c r="J2" s="931"/>
      <c r="K2" s="932"/>
    </row>
    <row r="3" spans="1:15" ht="15" customHeight="1">
      <c r="A3" s="936" t="s">
        <v>743</v>
      </c>
      <c r="B3" s="937"/>
      <c r="C3" s="937"/>
      <c r="D3" s="937"/>
      <c r="E3" s="937"/>
      <c r="F3" s="937"/>
      <c r="G3" s="937"/>
      <c r="H3" s="937"/>
      <c r="I3" s="937"/>
      <c r="J3" s="937"/>
      <c r="K3" s="937"/>
      <c r="L3" s="82"/>
      <c r="M3" s="82"/>
      <c r="O3" s="3" t="s">
        <v>110</v>
      </c>
    </row>
    <row r="4" spans="1:13" ht="15" customHeight="1">
      <c r="A4" s="938" t="s">
        <v>742</v>
      </c>
      <c r="B4" s="939"/>
      <c r="C4" s="939"/>
      <c r="D4" s="939"/>
      <c r="E4" s="939"/>
      <c r="F4" s="939"/>
      <c r="G4" s="939"/>
      <c r="H4" s="939"/>
      <c r="I4" s="939"/>
      <c r="J4" s="939"/>
      <c r="K4" s="939"/>
      <c r="L4" s="82"/>
      <c r="M4" s="82"/>
    </row>
    <row r="5" spans="1:13" ht="15" customHeight="1">
      <c r="A5" s="939"/>
      <c r="B5" s="939"/>
      <c r="C5" s="939"/>
      <c r="D5" s="939"/>
      <c r="E5" s="939"/>
      <c r="F5" s="939"/>
      <c r="G5" s="939"/>
      <c r="H5" s="939"/>
      <c r="I5" s="939"/>
      <c r="J5" s="939"/>
      <c r="K5" s="939"/>
      <c r="L5" s="82"/>
      <c r="M5" s="82"/>
    </row>
    <row r="6" spans="1:18" ht="15" customHeight="1">
      <c r="A6" s="813" t="s">
        <v>484</v>
      </c>
      <c r="B6" s="814"/>
      <c r="C6" s="814"/>
      <c r="D6" s="815"/>
      <c r="E6" s="402"/>
      <c r="F6" s="821" t="s">
        <v>485</v>
      </c>
      <c r="G6" s="821"/>
      <c r="H6" s="821"/>
      <c r="I6" s="821"/>
      <c r="J6" s="821"/>
      <c r="K6" s="821"/>
      <c r="M6" s="82"/>
      <c r="O6" s="117"/>
      <c r="P6" s="3" t="s">
        <v>306</v>
      </c>
      <c r="R6" s="71"/>
    </row>
    <row r="7" spans="1:13" ht="15" customHeight="1">
      <c r="A7" s="40"/>
      <c r="B7" s="933" t="s">
        <v>215</v>
      </c>
      <c r="C7" s="848"/>
      <c r="D7" s="849"/>
      <c r="F7" s="66"/>
      <c r="G7" s="934" t="s">
        <v>410</v>
      </c>
      <c r="H7" s="935"/>
      <c r="I7" s="935"/>
      <c r="J7" s="935"/>
      <c r="K7" s="935"/>
      <c r="M7" s="82"/>
    </row>
    <row r="8" spans="1:16" ht="15" customHeight="1">
      <c r="A8" s="41"/>
      <c r="B8" s="928" t="s">
        <v>216</v>
      </c>
      <c r="C8" s="843"/>
      <c r="D8" s="844"/>
      <c r="F8" s="65"/>
      <c r="G8" s="823" t="s">
        <v>732</v>
      </c>
      <c r="H8" s="824"/>
      <c r="I8" s="824"/>
      <c r="J8" s="824"/>
      <c r="K8" s="824"/>
      <c r="M8" s="82"/>
      <c r="O8" s="117"/>
      <c r="P8" s="3" t="s">
        <v>307</v>
      </c>
    </row>
    <row r="9" spans="1:13" ht="15" customHeight="1">
      <c r="A9" s="89"/>
      <c r="B9" s="929" t="s">
        <v>217</v>
      </c>
      <c r="C9" s="840"/>
      <c r="D9" s="841"/>
      <c r="F9" s="38"/>
      <c r="G9" s="940" t="s">
        <v>308</v>
      </c>
      <c r="H9" s="941"/>
      <c r="I9" s="941"/>
      <c r="J9" s="941"/>
      <c r="K9" s="941"/>
      <c r="M9" s="82"/>
    </row>
    <row r="10" spans="1:16" ht="15" customHeight="1">
      <c r="A10" s="813" t="s">
        <v>486</v>
      </c>
      <c r="B10" s="814"/>
      <c r="C10" s="814"/>
      <c r="D10" s="815"/>
      <c r="F10" s="40"/>
      <c r="G10" s="924" t="s">
        <v>262</v>
      </c>
      <c r="H10" s="925"/>
      <c r="I10" s="925"/>
      <c r="J10" s="925"/>
      <c r="K10" s="925"/>
      <c r="M10" s="82"/>
      <c r="O10" s="117"/>
      <c r="P10" s="3" t="s">
        <v>140</v>
      </c>
    </row>
    <row r="11" spans="1:13" ht="15" customHeight="1">
      <c r="A11" s="40"/>
      <c r="B11" s="581" t="s">
        <v>511</v>
      </c>
      <c r="C11" s="582"/>
      <c r="D11" s="483"/>
      <c r="F11" s="89"/>
      <c r="G11" s="926" t="s">
        <v>387</v>
      </c>
      <c r="H11" s="927"/>
      <c r="I11" s="927"/>
      <c r="J11" s="927"/>
      <c r="K11" s="927"/>
      <c r="M11" s="82"/>
    </row>
    <row r="12" spans="1:16" ht="15" customHeight="1">
      <c r="A12" s="293"/>
      <c r="B12" s="685" t="s">
        <v>477</v>
      </c>
      <c r="C12" s="686"/>
      <c r="D12" s="687"/>
      <c r="O12" s="117"/>
      <c r="P12" s="3" t="s">
        <v>261</v>
      </c>
    </row>
    <row r="13" spans="1:15" ht="15" customHeight="1">
      <c r="A13" s="89"/>
      <c r="B13" s="583" t="s">
        <v>470</v>
      </c>
      <c r="C13" s="584"/>
      <c r="D13" s="495"/>
      <c r="E13" s="8"/>
      <c r="F13" s="818" t="s">
        <v>527</v>
      </c>
      <c r="G13" s="816" t="s">
        <v>737</v>
      </c>
      <c r="H13" s="816" t="s">
        <v>629</v>
      </c>
      <c r="I13" s="816" t="s">
        <v>628</v>
      </c>
      <c r="J13" s="816" t="s">
        <v>623</v>
      </c>
      <c r="K13" s="825" t="s">
        <v>622</v>
      </c>
      <c r="O13" s="60"/>
    </row>
    <row r="14" spans="1:16" ht="15" customHeight="1">
      <c r="A14" s="813" t="s">
        <v>487</v>
      </c>
      <c r="B14" s="814"/>
      <c r="C14" s="814"/>
      <c r="D14" s="815"/>
      <c r="E14" s="14"/>
      <c r="F14" s="819"/>
      <c r="G14" s="817"/>
      <c r="H14" s="817"/>
      <c r="I14" s="817"/>
      <c r="J14" s="817"/>
      <c r="K14" s="826"/>
      <c r="O14" s="117"/>
      <c r="P14" s="3" t="s">
        <v>469</v>
      </c>
    </row>
    <row r="15" spans="1:11" ht="15" customHeight="1">
      <c r="A15" s="40"/>
      <c r="B15" s="581" t="s">
        <v>245</v>
      </c>
      <c r="C15" s="582"/>
      <c r="D15" s="483"/>
      <c r="E15" s="314" t="s">
        <v>528</v>
      </c>
      <c r="F15" s="315"/>
      <c r="G15" s="187"/>
      <c r="H15" s="316"/>
      <c r="I15" s="317"/>
      <c r="J15" s="318">
        <f>+IF(H15="","",IF(I15=0,0,IF(H15/B43&lt;=1/8,0,H15*MIN(1,I15/2.1))))</f>
      </c>
      <c r="K15" s="319">
        <f>+IF(B43="","",IF(J15="",B43,B43+J15))</f>
      </c>
    </row>
    <row r="16" spans="1:18" ht="15" customHeight="1">
      <c r="A16" s="26"/>
      <c r="B16" s="583" t="s">
        <v>305</v>
      </c>
      <c r="C16" s="584"/>
      <c r="D16" s="495"/>
      <c r="E16" s="320" t="s">
        <v>529</v>
      </c>
      <c r="F16" s="321"/>
      <c r="G16" s="398">
        <f>IF(F16="","",+H115)</f>
      </c>
      <c r="H16" s="322"/>
      <c r="I16" s="323"/>
      <c r="J16" s="257">
        <f>+IF(B45=0,"",IF(H16="","",IF(I16=0,0,IF(H16/B45&lt;=1/8,0,H16*MIN(1,I16/2.1)))))</f>
      </c>
      <c r="K16" s="324">
        <f>+IF(B45="","",IF(J16="",B45,B45+J16))</f>
      </c>
      <c r="O16" s="117"/>
      <c r="P16" s="71" t="s">
        <v>328</v>
      </c>
      <c r="R16" s="71"/>
    </row>
    <row r="17" spans="1:11" ht="15" customHeight="1">
      <c r="A17" s="679" t="s">
        <v>488</v>
      </c>
      <c r="B17" s="680"/>
      <c r="C17" s="481"/>
      <c r="D17" s="21" t="s">
        <v>39</v>
      </c>
      <c r="E17" s="325" t="s">
        <v>530</v>
      </c>
      <c r="F17" s="326"/>
      <c r="G17" s="399">
        <f>IF(F16="","",+H116)</f>
      </c>
      <c r="H17" s="327"/>
      <c r="I17" s="328"/>
      <c r="J17" s="329">
        <f>+IF(B47=0,"",IF(H17="","",IF(I17=0,0,IF(H17/B47&lt;=1/8,0,H17*MIN(1,I17/2.1)))))</f>
      </c>
      <c r="K17" s="330">
        <f>+IF(B47="","",IF(J17="",B47,B47+J17))</f>
      </c>
    </row>
    <row r="18" spans="1:11" ht="15" customHeight="1">
      <c r="A18" s="66"/>
      <c r="B18" s="688" t="s">
        <v>40</v>
      </c>
      <c r="C18" s="690"/>
      <c r="D18" s="155">
        <f>+IF(O16=0,"",IF(O16=1,1,0.9))</f>
      </c>
      <c r="E18" s="91"/>
      <c r="F18" s="484" t="s">
        <v>531</v>
      </c>
      <c r="G18" s="850"/>
      <c r="H18" s="850"/>
      <c r="I18" s="850"/>
      <c r="J18" s="850"/>
      <c r="K18" s="850"/>
    </row>
    <row r="19" spans="1:19" ht="15" customHeight="1">
      <c r="A19" s="292"/>
      <c r="B19" s="583" t="s">
        <v>41</v>
      </c>
      <c r="C19" s="495"/>
      <c r="D19" s="156"/>
      <c r="E19" s="407"/>
      <c r="F19" s="408"/>
      <c r="G19" s="408"/>
      <c r="H19" s="408"/>
      <c r="I19" s="408"/>
      <c r="J19" s="408"/>
      <c r="K19" s="408"/>
      <c r="S19" s="403"/>
    </row>
    <row r="20" spans="2:11" ht="15" customHeight="1">
      <c r="B20" s="401"/>
      <c r="C20" s="400"/>
      <c r="D20" s="400"/>
      <c r="E20" s="405"/>
      <c r="F20" s="405"/>
      <c r="G20" s="405"/>
      <c r="H20" s="405"/>
      <c r="I20" s="405"/>
      <c r="J20" s="405"/>
      <c r="K20" s="405"/>
    </row>
    <row r="21" spans="1:16" ht="15" customHeight="1">
      <c r="A21" s="472" t="s">
        <v>489</v>
      </c>
      <c r="B21" s="480"/>
      <c r="C21" s="480"/>
      <c r="D21" s="480"/>
      <c r="E21" s="480"/>
      <c r="F21" s="480"/>
      <c r="G21" s="480"/>
      <c r="H21" s="480"/>
      <c r="I21" s="480"/>
      <c r="J21" s="480"/>
      <c r="K21" s="481"/>
      <c r="M21" s="82"/>
      <c r="O21" s="117"/>
      <c r="P21" s="3" t="s">
        <v>50</v>
      </c>
    </row>
    <row r="22" spans="1:13" ht="15" customHeight="1">
      <c r="A22" s="37"/>
      <c r="B22" s="595" t="s">
        <v>247</v>
      </c>
      <c r="C22" s="596"/>
      <c r="D22" s="596"/>
      <c r="E22" s="596"/>
      <c r="F22" s="596"/>
      <c r="G22" s="596"/>
      <c r="H22" s="596"/>
      <c r="I22" s="596"/>
      <c r="J22" s="596"/>
      <c r="K22" s="768"/>
      <c r="M22" s="82"/>
    </row>
    <row r="23" spans="1:16" ht="15" customHeight="1">
      <c r="A23" s="65"/>
      <c r="B23" s="661" t="s">
        <v>395</v>
      </c>
      <c r="C23" s="662"/>
      <c r="D23" s="662"/>
      <c r="E23" s="662"/>
      <c r="F23" s="662"/>
      <c r="G23" s="662"/>
      <c r="H23" s="662"/>
      <c r="I23" s="662"/>
      <c r="J23" s="662"/>
      <c r="K23" s="663"/>
      <c r="M23" s="82"/>
      <c r="O23" s="71"/>
      <c r="P23" s="71"/>
    </row>
    <row r="24" spans="1:18" ht="15" customHeight="1">
      <c r="A24" s="65"/>
      <c r="B24" s="661" t="s">
        <v>398</v>
      </c>
      <c r="C24" s="662"/>
      <c r="D24" s="662"/>
      <c r="E24" s="662"/>
      <c r="F24" s="662"/>
      <c r="G24" s="662"/>
      <c r="H24" s="662"/>
      <c r="I24" s="662"/>
      <c r="J24" s="662"/>
      <c r="K24" s="663"/>
      <c r="M24" s="82"/>
      <c r="O24" s="60"/>
      <c r="R24" s="169"/>
    </row>
    <row r="25" spans="1:18" ht="15" customHeight="1">
      <c r="A25" s="65"/>
      <c r="B25" s="661" t="s">
        <v>389</v>
      </c>
      <c r="C25" s="662"/>
      <c r="D25" s="662"/>
      <c r="E25" s="662"/>
      <c r="F25" s="662"/>
      <c r="G25" s="662"/>
      <c r="H25" s="662"/>
      <c r="I25" s="662"/>
      <c r="J25" s="662"/>
      <c r="K25" s="663"/>
      <c r="M25" s="82"/>
      <c r="O25" s="60"/>
      <c r="R25" s="168"/>
    </row>
    <row r="26" spans="1:18" ht="15" customHeight="1">
      <c r="A26" s="65"/>
      <c r="B26" s="661" t="s">
        <v>396</v>
      </c>
      <c r="C26" s="662"/>
      <c r="D26" s="662"/>
      <c r="E26" s="662"/>
      <c r="F26" s="662"/>
      <c r="G26" s="662"/>
      <c r="H26" s="662"/>
      <c r="I26" s="662"/>
      <c r="J26" s="662"/>
      <c r="K26" s="663"/>
      <c r="M26" s="82"/>
      <c r="O26" s="60"/>
      <c r="R26" s="168"/>
    </row>
    <row r="27" spans="1:18" ht="15" customHeight="1">
      <c r="A27" s="65"/>
      <c r="B27" s="661" t="s">
        <v>397</v>
      </c>
      <c r="C27" s="662"/>
      <c r="D27" s="662"/>
      <c r="E27" s="662"/>
      <c r="F27" s="662"/>
      <c r="G27" s="662"/>
      <c r="H27" s="662"/>
      <c r="I27" s="662"/>
      <c r="J27" s="662"/>
      <c r="K27" s="663"/>
      <c r="M27" s="82"/>
      <c r="O27" s="60"/>
      <c r="R27" s="168"/>
    </row>
    <row r="28" spans="1:18" ht="15" customHeight="1">
      <c r="A28" s="65"/>
      <c r="B28" s="661" t="s">
        <v>390</v>
      </c>
      <c r="C28" s="662"/>
      <c r="D28" s="662"/>
      <c r="E28" s="662"/>
      <c r="F28" s="662"/>
      <c r="G28" s="662"/>
      <c r="H28" s="662"/>
      <c r="I28" s="662"/>
      <c r="J28" s="662"/>
      <c r="K28" s="663"/>
      <c r="M28" s="82"/>
      <c r="O28" s="60"/>
      <c r="R28" s="168"/>
    </row>
    <row r="29" spans="1:18" ht="15" customHeight="1">
      <c r="A29" s="65"/>
      <c r="B29" s="664" t="s">
        <v>256</v>
      </c>
      <c r="C29" s="665"/>
      <c r="D29" s="665"/>
      <c r="E29" s="665"/>
      <c r="F29" s="665"/>
      <c r="G29" s="665"/>
      <c r="H29" s="665"/>
      <c r="I29" s="665"/>
      <c r="J29" s="665"/>
      <c r="K29" s="666"/>
      <c r="M29" s="82"/>
      <c r="O29" s="60"/>
      <c r="R29" s="168"/>
    </row>
    <row r="30" spans="1:13" ht="15" customHeight="1">
      <c r="A30" s="38"/>
      <c r="B30" s="831" t="s">
        <v>404</v>
      </c>
      <c r="C30" s="492"/>
      <c r="D30" s="492"/>
      <c r="E30" s="492"/>
      <c r="F30" s="492"/>
      <c r="G30" s="492"/>
      <c r="H30" s="492"/>
      <c r="I30" s="492"/>
      <c r="J30" s="492"/>
      <c r="K30" s="493"/>
      <c r="M30" s="82"/>
    </row>
    <row r="31" spans="1:13" ht="15" customHeight="1">
      <c r="A31" s="922" t="s">
        <v>267</v>
      </c>
      <c r="B31" s="923"/>
      <c r="C31" s="923"/>
      <c r="D31" s="923"/>
      <c r="E31" s="923"/>
      <c r="F31" s="923"/>
      <c r="G31" s="923"/>
      <c r="H31" s="923"/>
      <c r="I31" s="923"/>
      <c r="J31" s="923"/>
      <c r="K31" s="923"/>
      <c r="M31" s="82"/>
    </row>
    <row r="32" spans="1:16" ht="15" customHeight="1">
      <c r="A32" s="942" t="s">
        <v>505</v>
      </c>
      <c r="B32" s="943"/>
      <c r="C32" s="943"/>
      <c r="D32" s="943"/>
      <c r="E32" s="486"/>
      <c r="F32" s="781" t="s">
        <v>506</v>
      </c>
      <c r="G32" s="473"/>
      <c r="H32" s="473"/>
      <c r="I32" s="473"/>
      <c r="J32" s="473"/>
      <c r="K32" s="474"/>
      <c r="M32" s="82"/>
      <c r="O32" s="3" t="s">
        <v>246</v>
      </c>
      <c r="P32" s="3" t="s">
        <v>276</v>
      </c>
    </row>
    <row r="33" spans="1:17" ht="15" customHeight="1">
      <c r="A33" s="98"/>
      <c r="B33" s="581" t="s">
        <v>270</v>
      </c>
      <c r="C33" s="582"/>
      <c r="D33" s="582"/>
      <c r="E33" s="483"/>
      <c r="F33" s="194"/>
      <c r="G33" s="581" t="s">
        <v>273</v>
      </c>
      <c r="H33" s="582"/>
      <c r="I33" s="582"/>
      <c r="J33" s="582"/>
      <c r="K33" s="483"/>
      <c r="M33" s="82"/>
      <c r="O33" s="117"/>
      <c r="P33" s="117"/>
      <c r="Q33" s="184">
        <f>IF(P33=0,0,IF(P33=5,4,P33))</f>
        <v>0</v>
      </c>
    </row>
    <row r="34" spans="1:15" ht="15" customHeight="1">
      <c r="A34" s="193"/>
      <c r="B34" s="653" t="s">
        <v>269</v>
      </c>
      <c r="C34" s="654"/>
      <c r="D34" s="654"/>
      <c r="E34" s="443"/>
      <c r="F34" s="195"/>
      <c r="G34" s="661" t="s">
        <v>274</v>
      </c>
      <c r="H34" s="662"/>
      <c r="I34" s="662"/>
      <c r="J34" s="662"/>
      <c r="K34" s="663"/>
      <c r="M34" s="82"/>
      <c r="O34" s="60" t="b">
        <v>0</v>
      </c>
    </row>
    <row r="35" spans="1:15" ht="15" customHeight="1">
      <c r="A35" s="65"/>
      <c r="B35" s="653" t="s">
        <v>268</v>
      </c>
      <c r="C35" s="654"/>
      <c r="D35" s="654"/>
      <c r="E35" s="443"/>
      <c r="F35" s="195"/>
      <c r="G35" s="661" t="s">
        <v>275</v>
      </c>
      <c r="H35" s="662"/>
      <c r="I35" s="662"/>
      <c r="J35" s="662"/>
      <c r="K35" s="663"/>
      <c r="M35" s="82"/>
      <c r="O35" s="3" t="s">
        <v>326</v>
      </c>
    </row>
    <row r="36" spans="1:15" ht="15" customHeight="1">
      <c r="A36" s="67"/>
      <c r="B36" s="685" t="s">
        <v>300</v>
      </c>
      <c r="C36" s="686"/>
      <c r="D36" s="686"/>
      <c r="E36" s="687"/>
      <c r="F36" s="196"/>
      <c r="G36" s="664" t="s">
        <v>271</v>
      </c>
      <c r="H36" s="665"/>
      <c r="I36" s="665"/>
      <c r="J36" s="665"/>
      <c r="K36" s="666"/>
      <c r="M36" s="82"/>
      <c r="O36" s="3" t="s">
        <v>327</v>
      </c>
    </row>
    <row r="37" spans="1:13" ht="15" customHeight="1">
      <c r="A37" s="245"/>
      <c r="B37" s="951" t="s">
        <v>266</v>
      </c>
      <c r="C37" s="480"/>
      <c r="D37" s="480"/>
      <c r="E37" s="481"/>
      <c r="F37" s="197"/>
      <c r="G37" s="831" t="s">
        <v>299</v>
      </c>
      <c r="H37" s="492"/>
      <c r="I37" s="492"/>
      <c r="J37" s="492"/>
      <c r="K37" s="493"/>
      <c r="M37" s="82"/>
    </row>
    <row r="38" spans="1:13" ht="15" customHeight="1">
      <c r="A38" s="97"/>
      <c r="B38" s="275"/>
      <c r="C38" s="276"/>
      <c r="D38" s="276"/>
      <c r="E38" s="276"/>
      <c r="F38" s="276"/>
      <c r="G38" s="276"/>
      <c r="H38" s="71"/>
      <c r="I38" s="277"/>
      <c r="J38" s="278"/>
      <c r="K38" s="275"/>
      <c r="M38" s="82"/>
    </row>
    <row r="39" spans="1:14" ht="15" customHeight="1">
      <c r="A39" s="71" t="s">
        <v>295</v>
      </c>
      <c r="B39" s="71"/>
      <c r="C39" s="71"/>
      <c r="D39" s="71"/>
      <c r="E39" s="71"/>
      <c r="F39" s="97"/>
      <c r="G39" s="71"/>
      <c r="H39" s="275"/>
      <c r="I39" s="275"/>
      <c r="J39" s="275"/>
      <c r="K39" s="275"/>
      <c r="L39" s="82"/>
      <c r="M39" s="82"/>
      <c r="N39" s="72" t="s">
        <v>322</v>
      </c>
    </row>
    <row r="40" spans="1:14" ht="15" customHeight="1">
      <c r="A40" s="300" t="s">
        <v>507</v>
      </c>
      <c r="B40" s="946" t="s">
        <v>312</v>
      </c>
      <c r="C40" s="279"/>
      <c r="D40" s="919" t="s">
        <v>400</v>
      </c>
      <c r="E40" s="913" t="s">
        <v>402</v>
      </c>
      <c r="F40" s="914"/>
      <c r="G40" s="919" t="s">
        <v>403</v>
      </c>
      <c r="H40" s="913" t="s">
        <v>444</v>
      </c>
      <c r="I40" s="914"/>
      <c r="J40" s="919" t="s">
        <v>311</v>
      </c>
      <c r="K40" s="280" t="s">
        <v>309</v>
      </c>
      <c r="L40" s="50"/>
      <c r="M40" s="82"/>
      <c r="N40" s="186" t="s">
        <v>738</v>
      </c>
    </row>
    <row r="41" spans="1:14" ht="15" customHeight="1">
      <c r="A41" s="911" t="s">
        <v>357</v>
      </c>
      <c r="B41" s="947"/>
      <c r="C41" s="281"/>
      <c r="D41" s="947"/>
      <c r="E41" s="949"/>
      <c r="F41" s="916"/>
      <c r="G41" s="920"/>
      <c r="H41" s="915"/>
      <c r="I41" s="916"/>
      <c r="J41" s="920"/>
      <c r="K41" s="944" t="s">
        <v>412</v>
      </c>
      <c r="L41" s="50"/>
      <c r="M41" s="82"/>
      <c r="N41" s="3" t="s">
        <v>481</v>
      </c>
    </row>
    <row r="42" spans="1:13" ht="15" customHeight="1">
      <c r="A42" s="912"/>
      <c r="B42" s="948"/>
      <c r="C42" s="282" t="s">
        <v>107</v>
      </c>
      <c r="D42" s="282" t="s">
        <v>401</v>
      </c>
      <c r="E42" s="950"/>
      <c r="F42" s="918"/>
      <c r="G42" s="921"/>
      <c r="H42" s="917"/>
      <c r="I42" s="918"/>
      <c r="J42" s="921"/>
      <c r="K42" s="945"/>
      <c r="L42" s="50"/>
      <c r="M42" s="82"/>
    </row>
    <row r="43" spans="1:14" ht="15" customHeight="1">
      <c r="A43" s="794">
        <v>3</v>
      </c>
      <c r="B43" s="797"/>
      <c r="C43" s="170" t="s">
        <v>42</v>
      </c>
      <c r="D43" s="248"/>
      <c r="E43" s="884"/>
      <c r="F43" s="885"/>
      <c r="G43" s="272">
        <f>IF(D43="","",G48)</f>
      </c>
      <c r="H43" s="876">
        <f aca="true" t="shared" si="0" ref="H43:H48">+J149</f>
      </c>
      <c r="I43" s="877"/>
      <c r="J43" s="835">
        <f>+K143</f>
      </c>
      <c r="K43" s="358">
        <f aca="true" t="shared" si="1" ref="K43:K48">+K149</f>
      </c>
      <c r="L43" s="167"/>
      <c r="M43" s="82"/>
      <c r="N43" s="3" t="s">
        <v>15</v>
      </c>
    </row>
    <row r="44" spans="1:13" ht="15" customHeight="1">
      <c r="A44" s="795"/>
      <c r="B44" s="798"/>
      <c r="C44" s="161" t="s">
        <v>43</v>
      </c>
      <c r="D44" s="247"/>
      <c r="E44" s="829"/>
      <c r="F44" s="830"/>
      <c r="G44" s="273">
        <f>IF(D44="","",G48)</f>
      </c>
      <c r="H44" s="791">
        <f t="shared" si="0"/>
      </c>
      <c r="I44" s="792"/>
      <c r="J44" s="836"/>
      <c r="K44" s="358">
        <f t="shared" si="1"/>
      </c>
      <c r="L44" s="167"/>
      <c r="M44" s="82"/>
    </row>
    <row r="45" spans="1:13" ht="15" customHeight="1">
      <c r="A45" s="852">
        <v>2</v>
      </c>
      <c r="B45" s="855"/>
      <c r="C45" s="161" t="s">
        <v>42</v>
      </c>
      <c r="D45" s="247"/>
      <c r="E45" s="829"/>
      <c r="F45" s="830"/>
      <c r="G45" s="273">
        <f>IF(D45="","",G48)</f>
      </c>
      <c r="H45" s="791">
        <f t="shared" si="0"/>
      </c>
      <c r="I45" s="792"/>
      <c r="J45" s="837">
        <f>+K144</f>
      </c>
      <c r="K45" s="358">
        <f t="shared" si="1"/>
      </c>
      <c r="L45" s="167"/>
      <c r="M45" s="82"/>
    </row>
    <row r="46" spans="1:13" ht="15" customHeight="1">
      <c r="A46" s="854"/>
      <c r="B46" s="798"/>
      <c r="C46" s="161" t="s">
        <v>43</v>
      </c>
      <c r="D46" s="247"/>
      <c r="E46" s="829"/>
      <c r="F46" s="830"/>
      <c r="G46" s="273">
        <f>IF(D46="","",G48)</f>
      </c>
      <c r="H46" s="791">
        <f t="shared" si="0"/>
      </c>
      <c r="I46" s="792"/>
      <c r="J46" s="838"/>
      <c r="K46" s="358">
        <f t="shared" si="1"/>
      </c>
      <c r="L46" s="167"/>
      <c r="M46" s="82"/>
    </row>
    <row r="47" spans="1:13" ht="15" customHeight="1">
      <c r="A47" s="852">
        <v>1</v>
      </c>
      <c r="B47" s="855"/>
      <c r="C47" s="161" t="s">
        <v>42</v>
      </c>
      <c r="D47" s="247"/>
      <c r="E47" s="829"/>
      <c r="F47" s="830"/>
      <c r="G47" s="273">
        <f>IF(G48="","",G48)</f>
      </c>
      <c r="H47" s="791">
        <f t="shared" si="0"/>
      </c>
      <c r="I47" s="792"/>
      <c r="J47" s="837">
        <f>+K145</f>
      </c>
      <c r="K47" s="358">
        <f t="shared" si="1"/>
      </c>
      <c r="L47" s="167"/>
      <c r="M47" s="82"/>
    </row>
    <row r="48" spans="1:12" ht="15" customHeight="1">
      <c r="A48" s="853"/>
      <c r="B48" s="856"/>
      <c r="C48" s="163" t="s">
        <v>43</v>
      </c>
      <c r="D48" s="199"/>
      <c r="E48" s="834"/>
      <c r="F48" s="426"/>
      <c r="G48" s="274">
        <f>+'改修劣化'!L46</f>
      </c>
      <c r="H48" s="861">
        <f t="shared" si="0"/>
      </c>
      <c r="I48" s="862"/>
      <c r="J48" s="882"/>
      <c r="K48" s="359">
        <f t="shared" si="1"/>
      </c>
      <c r="L48" s="167"/>
    </row>
    <row r="49" spans="8:12" ht="15" customHeight="1">
      <c r="H49" s="82"/>
      <c r="I49" s="82"/>
      <c r="J49" s="82"/>
      <c r="K49" s="82"/>
      <c r="L49" s="82"/>
    </row>
    <row r="50" spans="5:13" ht="15" customHeight="1">
      <c r="E50" s="167" t="s">
        <v>504</v>
      </c>
      <c r="F50" s="954" t="s">
        <v>272</v>
      </c>
      <c r="G50" s="955"/>
      <c r="I50" s="82"/>
      <c r="J50" s="82"/>
      <c r="K50" s="82"/>
      <c r="L50" s="82"/>
      <c r="M50" s="82"/>
    </row>
    <row r="51" spans="8:13" ht="15" customHeight="1">
      <c r="H51" s="82"/>
      <c r="I51" s="82"/>
      <c r="J51" s="82"/>
      <c r="K51" s="82"/>
      <c r="L51" s="82"/>
      <c r="M51" s="82"/>
    </row>
    <row r="52" spans="7:13" ht="15" customHeight="1">
      <c r="G52" s="93"/>
      <c r="H52" s="82"/>
      <c r="I52" s="82"/>
      <c r="J52" s="82"/>
      <c r="K52" s="82"/>
      <c r="L52" s="82"/>
      <c r="M52" s="82"/>
    </row>
    <row r="53" spans="6:13" ht="15" customHeight="1">
      <c r="F53" s="218"/>
      <c r="G53" s="93"/>
      <c r="H53" s="82"/>
      <c r="I53" s="82"/>
      <c r="J53" s="82"/>
      <c r="K53" s="82"/>
      <c r="L53" s="82"/>
      <c r="M53" s="82"/>
    </row>
    <row r="54" spans="6:13" ht="15" customHeight="1">
      <c r="F54" s="218"/>
      <c r="G54" s="93"/>
      <c r="H54" s="82"/>
      <c r="I54" s="82"/>
      <c r="J54" s="82"/>
      <c r="K54" s="82"/>
      <c r="L54" s="82"/>
      <c r="M54" s="82"/>
    </row>
    <row r="55" spans="6:13" ht="15" customHeight="1">
      <c r="F55" s="218"/>
      <c r="G55" s="93"/>
      <c r="H55" s="82"/>
      <c r="I55" s="82"/>
      <c r="J55" s="82"/>
      <c r="K55" s="82"/>
      <c r="L55" s="82"/>
      <c r="M55" s="82"/>
    </row>
    <row r="56" ht="15" customHeight="1">
      <c r="B56" s="3" t="s">
        <v>399</v>
      </c>
    </row>
    <row r="58" ht="15" customHeight="1">
      <c r="A58" s="3" t="s">
        <v>291</v>
      </c>
    </row>
    <row r="60" spans="1:15" ht="15" customHeight="1">
      <c r="A60" s="3" t="s">
        <v>427</v>
      </c>
      <c r="N60" s="821" t="s">
        <v>426</v>
      </c>
      <c r="O60" s="821"/>
    </row>
    <row r="61" spans="2:17" ht="15" customHeight="1">
      <c r="B61" s="821" t="s">
        <v>292</v>
      </c>
      <c r="C61" s="821"/>
      <c r="D61" s="821" t="s">
        <v>293</v>
      </c>
      <c r="E61" s="821"/>
      <c r="F61" s="821" t="s">
        <v>426</v>
      </c>
      <c r="G61" s="821"/>
      <c r="H61" s="821" t="s">
        <v>294</v>
      </c>
      <c r="I61" s="821"/>
      <c r="J61" s="821" t="s">
        <v>431</v>
      </c>
      <c r="K61" s="821"/>
      <c r="N61" s="3">
        <v>2</v>
      </c>
      <c r="O61" s="3">
        <v>3</v>
      </c>
      <c r="P61" s="3">
        <v>5</v>
      </c>
      <c r="Q61" s="3">
        <v>7</v>
      </c>
    </row>
    <row r="62" spans="2:19" ht="15" customHeight="1">
      <c r="B62" s="952">
        <v>1</v>
      </c>
      <c r="C62" s="952"/>
      <c r="D62" s="952">
        <v>4</v>
      </c>
      <c r="E62" s="952"/>
      <c r="F62" s="953">
        <v>7</v>
      </c>
      <c r="G62" s="953"/>
      <c r="H62" s="956">
        <f>IF(F62="","",+S62)</f>
        <v>0.6</v>
      </c>
      <c r="I62" s="821"/>
      <c r="J62" s="956">
        <f>IF(F62="","",+MIN(10,F62)*H62)</f>
        <v>4.2</v>
      </c>
      <c r="K62" s="956"/>
      <c r="N62" s="270">
        <f>IF(B62=1,IF(D62=1,1,IF(D62=2,1,IF(D62=3,1,1))),IF(B62=2,IF(D62=1,1,IF(D62=2,1,IF(D62=3,1,1))),IF(B62=3,IF(D62=1,1,IF(D62=2,1,IF(D62=3,1,1))))))</f>
        <v>1</v>
      </c>
      <c r="O62" s="270">
        <f>IF(B62=1,IF(D62=1,1,IF(D62=2,1,IF(D62=3,0.8,0.8))),IF(B62=2,IF(D62=1,0.9,IF(D62=2,0.9,IF(D62=3,0.8,0.8))),IF(B62=3,IF(D62=1,0.8,IF(D62=2,0.8,IF(D62=3,0.8,0.8))))))</f>
        <v>0.8</v>
      </c>
      <c r="P62" s="270">
        <f>IF(B62=1,IF(D62=1,1,IF(D62=2,0.9,IF(D62=3,0.7,0.7))),IF(B62=2,IF(D62=1,0.85,IF(D62=2,0.8,IF(D62=3,0.7,0.7))),IF(B62=3,IF(D62=1,0.7,IF(D62=2,0.7,IF(D62=3,0.7,0.7))))))</f>
        <v>0.7</v>
      </c>
      <c r="Q62" s="270">
        <f>IF(B62=1,IF(D62=1,1,IF(D62=2,0.8,IF(D62=3,0.6,0.6))),IF(B62=2,IF(D62=1,0.8,IF(D62=2,0.7,IF(D62=3,0.6,0.6))),IF(B62=3,IF(D62=1,0.6,IF(D62=2,0.6,IF(D62=3,0.6,0.6))))))</f>
        <v>0.6</v>
      </c>
      <c r="S62" s="271">
        <f>IF(F62&lt;=2,N62,IF(F62&lt;=3,N62-(N62-O62)/1*(F62-2),IF(F62&lt;=5,O62-(O62-P62)/2*(F62-3),IF(F62&lt;=7,P62-(P62-Q62)/2*(F62-5),Q62))))</f>
        <v>0.6</v>
      </c>
    </row>
    <row r="63" spans="2:19" ht="15" customHeight="1">
      <c r="B63" s="952">
        <v>2</v>
      </c>
      <c r="C63" s="952"/>
      <c r="D63" s="952">
        <v>4</v>
      </c>
      <c r="E63" s="952"/>
      <c r="F63" s="953">
        <v>4.5</v>
      </c>
      <c r="G63" s="953"/>
      <c r="H63" s="956">
        <f>IF(F63="","",+S63)</f>
        <v>0.725</v>
      </c>
      <c r="I63" s="821"/>
      <c r="J63" s="956">
        <f>IF(F63="","",+MIN(10,F63)*H63)</f>
        <v>3.2624999999999997</v>
      </c>
      <c r="K63" s="956"/>
      <c r="N63" s="270">
        <f>IF(B63=1,IF(D63=1,1,IF(D63=2,1,IF(D63=3,1,1))),IF(B63=2,IF(D63=1,1,IF(D63=2,1,IF(D63=3,1,1))),IF(B63=3,IF(D63=1,1,IF(D63=2,1,IF(D63=3,1,1))))))</f>
        <v>1</v>
      </c>
      <c r="O63" s="270">
        <f>IF(B63=1,IF(D63=1,1,IF(D63=2,1,IF(D63=3,0.8,0.8))),IF(B63=2,IF(D63=1,0.9,IF(D63=2,0.9,IF(D63=3,0.8,0.8))),IF(B63=3,IF(D63=1,0.8,IF(D63=2,0.8,IF(D63=3,0.8,0.8))))))</f>
        <v>0.8</v>
      </c>
      <c r="P63" s="270">
        <f>IF(B63=1,IF(D63=1,1,IF(D63=2,0.9,IF(D63=3,0.7,0.7))),IF(B63=2,IF(D63=1,0.85,IF(D63=2,0.8,IF(D63=3,0.7,0.7))),IF(B63=3,IF(D63=1,0.7,IF(D63=2,0.7,IF(D63=3,0.7,0.7))))))</f>
        <v>0.7</v>
      </c>
      <c r="Q63" s="270">
        <f>IF(B63=1,IF(D63=1,1,IF(D63=2,0.8,IF(D63=3,0.6,0.6))),IF(B63=2,IF(D63=1,0.8,IF(D63=2,0.7,IF(D63=3,0.6,0.6))),IF(B63=3,IF(D63=1,0.6,IF(D63=2,0.6,IF(D63=3,0.6,0.6))))))</f>
        <v>0.6</v>
      </c>
      <c r="S63" s="271">
        <f>IF(F63&lt;=2,N63,IF(F63&lt;=3,N63-(N63-O63)/1*(F63-2),IF(F63&lt;=5,O63-(O63-P63)/2*(F63-3),IF(F63&lt;=7,P63-(P63-Q63)/2*(F63-5),Q63))))</f>
        <v>0.725</v>
      </c>
    </row>
    <row r="65" spans="1:15" ht="15" customHeight="1">
      <c r="A65" s="3" t="s">
        <v>428</v>
      </c>
      <c r="N65" s="821" t="s">
        <v>426</v>
      </c>
      <c r="O65" s="821"/>
    </row>
    <row r="66" spans="2:17" ht="15" customHeight="1">
      <c r="B66" s="821" t="s">
        <v>292</v>
      </c>
      <c r="C66" s="821"/>
      <c r="D66" s="821" t="s">
        <v>293</v>
      </c>
      <c r="E66" s="821"/>
      <c r="F66" s="821" t="s">
        <v>426</v>
      </c>
      <c r="G66" s="821"/>
      <c r="H66" s="821" t="s">
        <v>294</v>
      </c>
      <c r="I66" s="821"/>
      <c r="J66" s="821" t="s">
        <v>431</v>
      </c>
      <c r="K66" s="821"/>
      <c r="N66" s="3">
        <v>2</v>
      </c>
      <c r="O66" s="3">
        <v>3</v>
      </c>
      <c r="P66" s="3">
        <v>5</v>
      </c>
      <c r="Q66" s="3">
        <v>7</v>
      </c>
    </row>
    <row r="67" spans="2:19" ht="15" customHeight="1">
      <c r="B67" s="952">
        <v>2</v>
      </c>
      <c r="C67" s="952"/>
      <c r="D67" s="952">
        <v>2</v>
      </c>
      <c r="E67" s="952"/>
      <c r="F67" s="953">
        <v>9</v>
      </c>
      <c r="G67" s="953"/>
      <c r="H67" s="956">
        <f>IF(F67="","",+S67)</f>
        <v>0.7</v>
      </c>
      <c r="I67" s="821"/>
      <c r="J67" s="956">
        <f>IF(F67="","",+MIN(10,F67)*H67)</f>
        <v>6.3</v>
      </c>
      <c r="K67" s="956"/>
      <c r="N67" s="270">
        <f>IF(B67=1,IF(D67=1,1,IF(D67=2,1,IF(D67=3,1,0.7))),IF(B67=2,IF(D67=1,0.85,IF(D67=2,0.85,IF(D67=3,0.7,0.7))),IF(B67=3,IF(D67=1,0.7,IF(D67=2,0.7,IF(D67=3,0.7,0.7))))))</f>
        <v>0.85</v>
      </c>
      <c r="O67" s="270">
        <f>IF(B67=1,IF(D67=1,1,IF(D67=2,0.9,IF(D67=3,0.6,0.6))),IF(B67=2,IF(D67=1,0.85,IF(D67=2,0.75,IF(D67=3,0.6,0.6))),IF(B67=3,IF(D67=1,0.7,IF(D67=2,0.7,IF(D67=3,0.6,0.6))))))</f>
        <v>0.75</v>
      </c>
      <c r="P67" s="270">
        <f>IF(B67=1,IF(D67=1,1,IF(D67=2,0.85,IF(D67=3,0.5,0.5))),IF(B67=2,IF(D67=1,0.8,IF(D67=2,0.7,IF(D67=3,0.5,0.5))),IF(B67=3,IF(D67=1,0.7,IF(D67=2,0.65,IF(D67=3,0.5,0.5))))))</f>
        <v>0.7</v>
      </c>
      <c r="Q67" s="270">
        <f>IF(B67=1,IF(D67=1,1,IF(D67=2,0.8,IF(D67=3,0.3,0.3))),IF(B67=2,IF(D67=1,0.8,IF(D67=2,0.7,IF(D67=3,0.3,0.3))),IF(B67=3,IF(D67=1,0.7,IF(D67=2,0.6,IF(D67=3,0.3,0.3))))))</f>
        <v>0.7</v>
      </c>
      <c r="S67" s="271">
        <f>IF(F67&lt;=2,N67,IF(F67&lt;=3,N67-(N67-O67)/1*(F67-2),IF(F67&lt;=5,O67-(O67-P67)/2*(F67-3),IF(F67&lt;=7,P67-(P67-Q67)/2*(F67-5),Q67))))</f>
        <v>0.7</v>
      </c>
    </row>
    <row r="68" spans="2:19" ht="15" customHeight="1">
      <c r="B68" s="952"/>
      <c r="C68" s="952"/>
      <c r="D68" s="952"/>
      <c r="E68" s="952"/>
      <c r="F68" s="953"/>
      <c r="G68" s="953"/>
      <c r="H68" s="956">
        <f>IF(F68="","",+S68)</f>
      </c>
      <c r="I68" s="821"/>
      <c r="J68" s="956">
        <f>IF(F68="","",+MIN(10,F68)*H68)</f>
      </c>
      <c r="K68" s="956"/>
      <c r="N68" s="270" t="b">
        <f>IF(B68=1,IF(D68=1,1,IF(D68=2,1,IF(D68=3,1,0.7))),IF(B68=2,IF(D68=1,0.85,IF(D68=2,0.85,IF(D68=3,0.7,0.7))),IF(B68=3,IF(D68=1,0.7,IF(D68=2,0.7,IF(D68=3,0.7,0.7))))))</f>
        <v>0</v>
      </c>
      <c r="O68" s="270" t="b">
        <f>IF(B68=1,IF(D68=1,1,IF(D68=2,0.9,IF(D68=3,0.6,0.6))),IF(B68=2,IF(D68=1,0.85,IF(D68=2,0.75,IF(D68=3,0.6,0.6))),IF(B68=3,IF(D68=1,0.7,IF(D68=2,0.7,IF(D68=3,0.6,0.6))))))</f>
        <v>0</v>
      </c>
      <c r="P68" s="270" t="b">
        <f>IF(B68=1,IF(D68=1,1,IF(D68=2,0.85,IF(D68=3,0.5,0.5))),IF(B68=2,IF(D68=1,0.8,IF(D68=2,0.7,IF(D68=3,0.5,0.5))),IF(B68=3,IF(D68=1,0.7,IF(D68=2,0.65,IF(D68=3,0.5,0.5))))))</f>
        <v>0</v>
      </c>
      <c r="Q68" s="270" t="b">
        <f>IF(B68=1,IF(D68=1,1,IF(D68=2,0.8,IF(D68=3,0.3,0.3))),IF(B68=2,IF(D68=1,0.8,IF(D68=2,0.7,IF(D68=3,0.3,0.3))),IF(B68=3,IF(D68=1,0.7,IF(D68=2,0.6,IF(D68=3,0.3,0.3))))))</f>
        <v>0</v>
      </c>
      <c r="S68" s="271" t="b">
        <f>IF(F68&lt;=2,N68,IF(F68&lt;=3,N68-(N68-O68)/1*(F68-2),IF(F68&lt;=5,O68-(O68-P68)/2*(F68-3),IF(F68&lt;=7,P68-(P68-Q68)/2*(F68-5),Q68))))</f>
        <v>0</v>
      </c>
    </row>
    <row r="70" spans="1:15" ht="15" customHeight="1">
      <c r="A70" s="3" t="s">
        <v>429</v>
      </c>
      <c r="N70" s="821" t="s">
        <v>426</v>
      </c>
      <c r="O70" s="821"/>
    </row>
    <row r="71" spans="4:17" ht="15" customHeight="1">
      <c r="D71" s="821" t="s">
        <v>293</v>
      </c>
      <c r="E71" s="821"/>
      <c r="F71" s="821" t="s">
        <v>426</v>
      </c>
      <c r="G71" s="821"/>
      <c r="H71" s="821" t="s">
        <v>294</v>
      </c>
      <c r="I71" s="821"/>
      <c r="J71" s="821" t="s">
        <v>431</v>
      </c>
      <c r="K71" s="821"/>
      <c r="N71" s="3">
        <v>2</v>
      </c>
      <c r="O71" s="3">
        <v>3</v>
      </c>
      <c r="P71" s="3">
        <v>5</v>
      </c>
      <c r="Q71" s="3">
        <v>7</v>
      </c>
    </row>
    <row r="72" spans="4:19" ht="15" customHeight="1">
      <c r="D72" s="952">
        <v>2</v>
      </c>
      <c r="E72" s="952"/>
      <c r="F72" s="953">
        <v>7.1</v>
      </c>
      <c r="G72" s="953"/>
      <c r="H72" s="956">
        <f>IF(F72="","",+S72)</f>
        <v>0.5</v>
      </c>
      <c r="I72" s="821"/>
      <c r="J72" s="956">
        <f>IF(F72="","",+MIN(10,F72)*H72)</f>
        <v>3.55</v>
      </c>
      <c r="K72" s="956"/>
      <c r="N72" s="270">
        <f>IF(D72=1,1,IF(D72=2,1,IF(D72=3,0.7,0.7)))</f>
        <v>1</v>
      </c>
      <c r="O72" s="270">
        <f>IF(D72=1,1,IF(D72=2,0.8,IF(D72=3,0.6,0.35)))</f>
        <v>0.8</v>
      </c>
      <c r="P72" s="270">
        <f>IF(D72=1,1,IF(D72=2,0.65,IF(D72=3,0.45,0.25)))</f>
        <v>0.65</v>
      </c>
      <c r="Q72" s="270">
        <f>IF(D72=1,1,IF(D72=2,0.5,IF(D72=3,0.35,0.2)))</f>
        <v>0.5</v>
      </c>
      <c r="S72" s="270">
        <f>IF(F72&lt;=2,N72,IF(F72&lt;=3,N72-(N72-O72)/1*(F72-2),IF(F72&lt;=5,O72-(O72-P72)/2*(F72-3),IF(F72&lt;=7,P72-(P72-Q72)/2*(F72-5),Q72))))</f>
        <v>0.5</v>
      </c>
    </row>
    <row r="73" spans="4:19" ht="15" customHeight="1">
      <c r="D73" s="952">
        <v>2</v>
      </c>
      <c r="E73" s="952"/>
      <c r="F73" s="953">
        <v>5</v>
      </c>
      <c r="G73" s="953"/>
      <c r="H73" s="956">
        <f>IF(F73="","",+S73)</f>
        <v>0.65</v>
      </c>
      <c r="I73" s="821"/>
      <c r="J73" s="956">
        <f>IF(F73="","",+MIN(10,F73)*H73)</f>
        <v>3.25</v>
      </c>
      <c r="K73" s="956"/>
      <c r="N73" s="270">
        <f>IF(D73=1,1,IF(D73=2,1,IF(D73=3,0.7,0.7)))</f>
        <v>1</v>
      </c>
      <c r="O73" s="270">
        <f>IF(D73=1,1,IF(D73=2,0.8,IF(D73=3,0.6,0.35)))</f>
        <v>0.8</v>
      </c>
      <c r="P73" s="270">
        <f>IF(D73=1,1,IF(D73=2,0.65,IF(D73=3,0.45,0.25)))</f>
        <v>0.65</v>
      </c>
      <c r="Q73" s="270">
        <f>IF(D73=1,1,IF(D73=2,0.5,IF(D73=3,0.35,0.2)))</f>
        <v>0.5</v>
      </c>
      <c r="S73" s="270">
        <f>IF(F73&lt;=2,N73,IF(F73&lt;=3,N73-(N73-O73)/1*(F73-2),IF(F73&lt;=5,O73-(O73-P73)/2*(F73-3),IF(F73&lt;=7,P73-(P73-Q73)/2*(F73-5),Q73))))</f>
        <v>0.65</v>
      </c>
    </row>
    <row r="75" spans="1:15" ht="15" customHeight="1">
      <c r="A75" s="3" t="s">
        <v>430</v>
      </c>
      <c r="K75" s="270"/>
      <c r="N75" s="821" t="s">
        <v>426</v>
      </c>
      <c r="O75" s="821"/>
    </row>
    <row r="76" spans="4:17" ht="15" customHeight="1">
      <c r="D76" s="821" t="s">
        <v>293</v>
      </c>
      <c r="E76" s="821"/>
      <c r="F76" s="821" t="s">
        <v>426</v>
      </c>
      <c r="G76" s="821"/>
      <c r="H76" s="821" t="s">
        <v>294</v>
      </c>
      <c r="I76" s="821"/>
      <c r="J76" s="821" t="s">
        <v>431</v>
      </c>
      <c r="K76" s="821"/>
      <c r="N76" s="3">
        <v>2</v>
      </c>
      <c r="O76" s="3">
        <v>3</v>
      </c>
      <c r="P76" s="3">
        <v>5</v>
      </c>
      <c r="Q76" s="3">
        <v>7</v>
      </c>
    </row>
    <row r="77" spans="4:19" ht="15" customHeight="1">
      <c r="D77" s="952">
        <v>2</v>
      </c>
      <c r="E77" s="952"/>
      <c r="F77" s="953">
        <v>9</v>
      </c>
      <c r="G77" s="953"/>
      <c r="H77" s="956">
        <f>IF(F77="","",+S77)</f>
        <v>0.8</v>
      </c>
      <c r="I77" s="821"/>
      <c r="J77" s="956">
        <f>IF(F77="","",+MIN(10,F77)*H77)</f>
        <v>7.2</v>
      </c>
      <c r="K77" s="956"/>
      <c r="N77" s="270">
        <f>IF(D77=1,1,IF(D77=2,1,IF(D77=3,1,1)))</f>
        <v>1</v>
      </c>
      <c r="O77" s="270">
        <f>IF(D77=1,1,IF(D77=2,1,IF(D77=3,0.8,0.8)))</f>
        <v>1</v>
      </c>
      <c r="P77" s="270">
        <f>IF(D77=1,1,IF(D77=2,0.9,IF(D77=3,0.7,0.7)))</f>
        <v>0.9</v>
      </c>
      <c r="Q77" s="270">
        <f>IF(D77=1,1,IF(D77=2,0.8,IF(D77=3,0.6,0.6)))</f>
        <v>0.8</v>
      </c>
      <c r="S77" s="270">
        <f>IF(F77&lt;=2,N77,IF(F77&lt;=3,N77-(N77-O77)/1*(F77-2),IF(F77&lt;=5,O77-(O77-P77)/2*(F77-3),IF(F77&lt;=7,P77-(P77-Q77)/2*(F77-5),Q77))))</f>
        <v>0.8</v>
      </c>
    </row>
    <row r="78" spans="4:19" ht="15" customHeight="1">
      <c r="D78" s="952">
        <v>4</v>
      </c>
      <c r="E78" s="952"/>
      <c r="F78" s="953">
        <v>9</v>
      </c>
      <c r="G78" s="953"/>
      <c r="H78" s="956">
        <f>IF(F78="","",+S78)</f>
        <v>0.6</v>
      </c>
      <c r="I78" s="821"/>
      <c r="J78" s="956">
        <f>IF(F78="","",+MIN(10,F78)*H78)</f>
        <v>5.3999999999999995</v>
      </c>
      <c r="K78" s="956"/>
      <c r="N78" s="270">
        <f>IF(D78=1,1,IF(D78=2,1,IF(D78=3,1,1)))</f>
        <v>1</v>
      </c>
      <c r="O78" s="270">
        <f>IF(D78=1,1,IF(D78=2,1,IF(D78=3,0.8,0.8)))</f>
        <v>0.8</v>
      </c>
      <c r="P78" s="270">
        <f>IF(D78=1,1,IF(D78=2,0.9,IF(D78=3,0.7,0.7)))</f>
        <v>0.7</v>
      </c>
      <c r="Q78" s="270">
        <f>IF(D78=1,1,IF(D78=2,0.8,IF(D78=3,0.6,0.6)))</f>
        <v>0.6</v>
      </c>
      <c r="S78" s="270">
        <f>IF(F78&lt;=2,N78,IF(F78&lt;=3,N78-(N78-O78)/1*(F78-2),IF(F78&lt;=5,O78-(O78-P78)/2*(F78-3),IF(F78&lt;=7,P78-(P78-Q78)/2*(F78-5),Q78))))</f>
        <v>0.6</v>
      </c>
    </row>
    <row r="81" spans="1:12" ht="15" customHeight="1">
      <c r="A81" s="29"/>
      <c r="B81" s="29"/>
      <c r="C81" s="29"/>
      <c r="D81" s="29"/>
      <c r="E81" s="29"/>
      <c r="F81" s="29"/>
      <c r="G81" s="29"/>
      <c r="H81" s="29"/>
      <c r="I81" s="29"/>
      <c r="J81" s="29"/>
      <c r="K81" s="29"/>
      <c r="L81" s="29"/>
    </row>
    <row r="82" spans="1:12" ht="15" customHeight="1">
      <c r="A82" s="2" t="s">
        <v>532</v>
      </c>
      <c r="B82" s="2"/>
      <c r="C82" s="2"/>
      <c r="D82" s="2"/>
      <c r="E82" s="2"/>
      <c r="F82" s="2"/>
      <c r="G82" s="2"/>
      <c r="H82" s="2"/>
      <c r="I82" s="2"/>
      <c r="J82" s="2"/>
      <c r="K82" s="2"/>
      <c r="L82" s="2"/>
    </row>
    <row r="83" spans="2:12" ht="15" customHeight="1">
      <c r="B83" s="2" t="s">
        <v>533</v>
      </c>
      <c r="C83" s="2"/>
      <c r="D83" s="2"/>
      <c r="E83" s="2"/>
      <c r="F83" s="2"/>
      <c r="G83" s="2"/>
      <c r="H83" s="2"/>
      <c r="I83" s="2"/>
      <c r="J83" s="2"/>
      <c r="K83" s="2"/>
      <c r="L83" s="2"/>
    </row>
    <row r="84" spans="1:12" ht="15" customHeight="1">
      <c r="A84" s="331" t="s">
        <v>534</v>
      </c>
      <c r="B84" s="2"/>
      <c r="C84" s="2"/>
      <c r="D84" s="2"/>
      <c r="E84" s="2"/>
      <c r="F84" s="2"/>
      <c r="G84" s="2"/>
      <c r="H84" s="2"/>
      <c r="I84" s="2"/>
      <c r="J84" s="2"/>
      <c r="K84" s="2"/>
      <c r="L84" s="2"/>
    </row>
    <row r="85" spans="1:12" ht="15" customHeight="1">
      <c r="A85" s="2"/>
      <c r="C85" s="2"/>
      <c r="D85" s="2" t="s">
        <v>206</v>
      </c>
      <c r="F85" s="2" t="s">
        <v>207</v>
      </c>
      <c r="H85" s="2" t="s">
        <v>208</v>
      </c>
      <c r="I85" s="2"/>
      <c r="J85" s="2"/>
      <c r="K85" s="2"/>
      <c r="L85" s="2"/>
    </row>
    <row r="86" spans="1:12" ht="15" customHeight="1">
      <c r="A86" s="2" t="s">
        <v>209</v>
      </c>
      <c r="C86" s="2"/>
      <c r="D86" s="2" t="s">
        <v>535</v>
      </c>
      <c r="F86" s="2" t="s">
        <v>536</v>
      </c>
      <c r="H86" s="2" t="s">
        <v>537</v>
      </c>
      <c r="I86" s="2"/>
      <c r="J86" s="2"/>
      <c r="K86" s="2"/>
      <c r="L86" s="2"/>
    </row>
    <row r="87" spans="1:12" ht="15" customHeight="1">
      <c r="A87" s="2" t="s">
        <v>210</v>
      </c>
      <c r="C87" s="2" t="s">
        <v>211</v>
      </c>
      <c r="D87" s="2" t="s">
        <v>538</v>
      </c>
      <c r="F87" s="2" t="s">
        <v>539</v>
      </c>
      <c r="H87" s="2" t="s">
        <v>540</v>
      </c>
      <c r="I87" s="2"/>
      <c r="J87" s="2"/>
      <c r="K87" s="2"/>
      <c r="L87" s="2"/>
    </row>
    <row r="88" spans="1:12" ht="15" customHeight="1">
      <c r="A88" s="2"/>
      <c r="C88" s="2" t="s">
        <v>212</v>
      </c>
      <c r="D88" s="2" t="s">
        <v>541</v>
      </c>
      <c r="F88" s="2" t="s">
        <v>542</v>
      </c>
      <c r="H88" s="2" t="s">
        <v>543</v>
      </c>
      <c r="I88" s="2"/>
      <c r="J88" s="2"/>
      <c r="K88" s="2"/>
      <c r="L88" s="2"/>
    </row>
    <row r="89" spans="1:12" ht="15" customHeight="1">
      <c r="A89" s="2" t="s">
        <v>213</v>
      </c>
      <c r="C89" s="2" t="s">
        <v>214</v>
      </c>
      <c r="D89" s="2" t="s">
        <v>544</v>
      </c>
      <c r="F89" s="2" t="s">
        <v>545</v>
      </c>
      <c r="H89" s="2" t="s">
        <v>546</v>
      </c>
      <c r="I89" s="2"/>
      <c r="J89" s="2"/>
      <c r="K89" s="2"/>
      <c r="L89" s="2"/>
    </row>
    <row r="90" spans="1:12" ht="15" customHeight="1">
      <c r="A90" s="2"/>
      <c r="C90" s="2" t="s">
        <v>211</v>
      </c>
      <c r="D90" s="2" t="s">
        <v>547</v>
      </c>
      <c r="F90" s="2" t="s">
        <v>548</v>
      </c>
      <c r="H90" s="2" t="s">
        <v>549</v>
      </c>
      <c r="I90" s="2"/>
      <c r="J90" s="2"/>
      <c r="K90" s="2"/>
      <c r="L90" s="2"/>
    </row>
    <row r="91" spans="1:12" ht="15" customHeight="1">
      <c r="A91" s="2"/>
      <c r="C91" s="2" t="s">
        <v>212</v>
      </c>
      <c r="D91" s="2" t="s">
        <v>550</v>
      </c>
      <c r="F91" s="2" t="s">
        <v>551</v>
      </c>
      <c r="H91" s="2" t="s">
        <v>552</v>
      </c>
      <c r="I91" s="2"/>
      <c r="J91" s="2"/>
      <c r="K91" s="2"/>
      <c r="L91" s="2"/>
    </row>
    <row r="92" spans="1:12" ht="15" customHeight="1">
      <c r="A92" s="2"/>
      <c r="C92" s="2"/>
      <c r="D92" s="2"/>
      <c r="F92" s="2"/>
      <c r="H92" s="2"/>
      <c r="I92" s="2"/>
      <c r="J92" s="2"/>
      <c r="K92" s="2"/>
      <c r="L92" s="2"/>
    </row>
    <row r="93" spans="2:12" ht="15" customHeight="1">
      <c r="B93" s="2" t="s">
        <v>553</v>
      </c>
      <c r="C93" s="2"/>
      <c r="E93" s="2"/>
      <c r="F93" s="2"/>
      <c r="G93" s="2" t="s">
        <v>554</v>
      </c>
      <c r="H93" s="2"/>
      <c r="I93" s="2"/>
      <c r="J93" s="2"/>
      <c r="K93" s="2"/>
      <c r="L93" s="2"/>
    </row>
    <row r="94" spans="2:12" ht="15" customHeight="1">
      <c r="B94" s="2" t="s">
        <v>555</v>
      </c>
      <c r="C94" s="2"/>
      <c r="E94" s="2"/>
      <c r="F94" s="2"/>
      <c r="G94" s="2" t="s">
        <v>556</v>
      </c>
      <c r="H94" s="2"/>
      <c r="I94" s="2"/>
      <c r="J94" s="2"/>
      <c r="K94" s="2"/>
      <c r="L94" s="2"/>
    </row>
    <row r="95" spans="2:12" ht="15" customHeight="1">
      <c r="B95" s="2" t="s">
        <v>624</v>
      </c>
      <c r="C95" s="2"/>
      <c r="E95" s="2"/>
      <c r="F95" s="2"/>
      <c r="G95" s="2" t="s">
        <v>557</v>
      </c>
      <c r="H95" s="2"/>
      <c r="I95" s="2"/>
      <c r="J95" s="2"/>
      <c r="K95" s="2"/>
      <c r="L95" s="2"/>
    </row>
    <row r="96" spans="2:12" ht="15" customHeight="1">
      <c r="B96" s="332" t="s">
        <v>558</v>
      </c>
      <c r="C96" s="2"/>
      <c r="E96" s="2"/>
      <c r="F96" s="2"/>
      <c r="G96" s="332" t="s">
        <v>559</v>
      </c>
      <c r="H96" s="2"/>
      <c r="I96" s="2"/>
      <c r="J96" s="2"/>
      <c r="K96" s="2"/>
      <c r="L96" s="2"/>
    </row>
    <row r="97" spans="2:12" ht="15" customHeight="1">
      <c r="B97" s="332" t="s">
        <v>560</v>
      </c>
      <c r="C97" s="2"/>
      <c r="E97" s="2"/>
      <c r="F97" s="2"/>
      <c r="G97" s="2" t="s">
        <v>561</v>
      </c>
      <c r="H97" s="2"/>
      <c r="I97" s="2"/>
      <c r="J97" s="2"/>
      <c r="K97" s="2"/>
      <c r="L97" s="2"/>
    </row>
    <row r="98" spans="2:12" ht="15" customHeight="1">
      <c r="B98" s="2" t="s">
        <v>562</v>
      </c>
      <c r="C98" s="2"/>
      <c r="E98" s="2"/>
      <c r="F98" s="2"/>
      <c r="G98" s="2" t="s">
        <v>563</v>
      </c>
      <c r="H98" s="2"/>
      <c r="I98" s="2"/>
      <c r="J98" s="2"/>
      <c r="K98" s="2"/>
      <c r="L98" s="2"/>
    </row>
    <row r="99" spans="2:12" ht="15" customHeight="1">
      <c r="B99" s="2" t="s">
        <v>564</v>
      </c>
      <c r="C99" s="2"/>
      <c r="E99" s="2"/>
      <c r="F99" s="2"/>
      <c r="G99" s="2" t="s">
        <v>565</v>
      </c>
      <c r="H99" s="2"/>
      <c r="I99" s="2"/>
      <c r="J99" s="2"/>
      <c r="K99" s="2"/>
      <c r="L99" s="2"/>
    </row>
    <row r="100" spans="2:12" ht="15" customHeight="1">
      <c r="B100" s="2" t="s">
        <v>566</v>
      </c>
      <c r="C100" s="2"/>
      <c r="E100" s="2"/>
      <c r="F100" s="2"/>
      <c r="G100" s="2" t="s">
        <v>567</v>
      </c>
      <c r="H100" s="2"/>
      <c r="I100" s="2"/>
      <c r="J100" s="2"/>
      <c r="K100" s="2"/>
      <c r="L100" s="2"/>
    </row>
    <row r="101" spans="2:12" ht="15" customHeight="1">
      <c r="B101" s="2" t="s">
        <v>568</v>
      </c>
      <c r="C101" s="2"/>
      <c r="D101" s="2"/>
      <c r="E101" s="2"/>
      <c r="F101" s="2"/>
      <c r="G101" s="2"/>
      <c r="H101" s="2"/>
      <c r="I101" s="2"/>
      <c r="J101" s="2"/>
      <c r="K101" s="2"/>
      <c r="L101" s="2"/>
    </row>
    <row r="102" spans="2:12" ht="15" customHeight="1">
      <c r="B102" s="2" t="s">
        <v>569</v>
      </c>
      <c r="C102" s="2"/>
      <c r="D102" s="2"/>
      <c r="E102" s="2"/>
      <c r="F102" s="2"/>
      <c r="G102" s="2"/>
      <c r="H102" s="2"/>
      <c r="I102" s="2"/>
      <c r="J102" s="2"/>
      <c r="K102" s="2"/>
      <c r="L102" s="2"/>
    </row>
    <row r="103" spans="2:12" ht="15" customHeight="1">
      <c r="B103" s="2"/>
      <c r="C103" s="2"/>
      <c r="D103" s="2"/>
      <c r="E103" s="2"/>
      <c r="F103" s="2"/>
      <c r="G103" s="2"/>
      <c r="H103" s="2"/>
      <c r="I103" s="2"/>
      <c r="J103" s="2"/>
      <c r="K103" s="2"/>
      <c r="L103" s="2"/>
    </row>
    <row r="104" spans="1:12" ht="15" customHeight="1">
      <c r="A104" s="3" t="s">
        <v>570</v>
      </c>
      <c r="B104" s="2"/>
      <c r="C104" s="2"/>
      <c r="D104" s="2"/>
      <c r="E104" s="2"/>
      <c r="F104" s="2"/>
      <c r="G104" s="2"/>
      <c r="H104" s="2"/>
      <c r="I104" s="2"/>
      <c r="J104" s="2"/>
      <c r="K104" s="2"/>
      <c r="L104" s="2"/>
    </row>
    <row r="105" spans="1:12" ht="15" customHeight="1">
      <c r="A105" s="2" t="s">
        <v>571</v>
      </c>
      <c r="C105" s="2"/>
      <c r="D105" s="2"/>
      <c r="F105" s="2"/>
      <c r="H105" s="2"/>
      <c r="I105" s="2"/>
      <c r="J105" s="2"/>
      <c r="K105" s="2"/>
      <c r="L105" s="2"/>
    </row>
    <row r="106" spans="2:12" ht="15" customHeight="1">
      <c r="B106" s="2" t="s">
        <v>572</v>
      </c>
      <c r="C106" s="2"/>
      <c r="D106" s="2"/>
      <c r="E106" s="2"/>
      <c r="F106" s="2"/>
      <c r="G106" s="2"/>
      <c r="H106" s="2"/>
      <c r="I106" s="2"/>
      <c r="J106" s="2"/>
      <c r="K106" s="2"/>
      <c r="L106" s="2"/>
    </row>
    <row r="107" spans="2:12" ht="15" customHeight="1">
      <c r="B107" s="2" t="s">
        <v>573</v>
      </c>
      <c r="C107" s="2"/>
      <c r="D107" s="2"/>
      <c r="E107" s="2"/>
      <c r="F107" s="2"/>
      <c r="G107" s="2"/>
      <c r="H107" s="2"/>
      <c r="I107" s="2"/>
      <c r="J107" s="2"/>
      <c r="K107" s="2"/>
      <c r="L107" s="2"/>
    </row>
    <row r="108" spans="2:12" ht="15" customHeight="1">
      <c r="B108" s="2" t="s">
        <v>574</v>
      </c>
      <c r="C108" s="2"/>
      <c r="D108" s="2"/>
      <c r="E108" s="2"/>
      <c r="F108" s="2"/>
      <c r="G108" s="2"/>
      <c r="H108" s="2"/>
      <c r="I108" s="2"/>
      <c r="J108" s="2"/>
      <c r="K108" s="2"/>
      <c r="L108" s="2"/>
    </row>
    <row r="109" spans="2:12" ht="15" customHeight="1">
      <c r="B109" s="600" t="s">
        <v>627</v>
      </c>
      <c r="C109" s="620"/>
      <c r="D109" s="620"/>
      <c r="E109" s="620"/>
      <c r="F109" s="620"/>
      <c r="G109" s="620"/>
      <c r="H109" s="620"/>
      <c r="I109" s="620"/>
      <c r="J109" s="620"/>
      <c r="K109" s="620"/>
      <c r="L109" s="2"/>
    </row>
    <row r="110" spans="2:12" ht="15" customHeight="1">
      <c r="B110" s="620"/>
      <c r="C110" s="620"/>
      <c r="D110" s="620"/>
      <c r="E110" s="620"/>
      <c r="F110" s="620"/>
      <c r="G110" s="620"/>
      <c r="H110" s="620"/>
      <c r="I110" s="620"/>
      <c r="J110" s="620"/>
      <c r="K110" s="620"/>
      <c r="L110" s="2"/>
    </row>
    <row r="111" spans="2:12" ht="15" customHeight="1">
      <c r="B111" s="2"/>
      <c r="C111" s="2"/>
      <c r="D111" s="2"/>
      <c r="E111" s="2"/>
      <c r="F111" s="2"/>
      <c r="G111" s="2"/>
      <c r="H111" s="2"/>
      <c r="I111" s="2"/>
      <c r="J111" s="2"/>
      <c r="K111" s="2"/>
      <c r="L111" s="2"/>
    </row>
    <row r="112" spans="1:12" ht="15" customHeight="1">
      <c r="A112" s="331" t="s">
        <v>575</v>
      </c>
      <c r="B112" s="2"/>
      <c r="C112" s="2"/>
      <c r="D112" s="2"/>
      <c r="E112" s="2"/>
      <c r="F112" s="2"/>
      <c r="G112" s="2"/>
      <c r="H112" s="2"/>
      <c r="I112" s="2"/>
      <c r="J112" s="2"/>
      <c r="K112" s="2"/>
      <c r="L112" s="2"/>
    </row>
    <row r="113" spans="2:12" ht="15" customHeight="1">
      <c r="B113" s="2"/>
      <c r="C113" s="2" t="s">
        <v>576</v>
      </c>
      <c r="E113" s="2" t="s">
        <v>527</v>
      </c>
      <c r="G113" s="2" t="s">
        <v>577</v>
      </c>
      <c r="H113" s="2"/>
      <c r="I113" s="2"/>
      <c r="J113" s="2"/>
      <c r="K113" s="2"/>
      <c r="L113" s="2"/>
    </row>
    <row r="114" spans="2:12" ht="15" customHeight="1">
      <c r="B114" s="2" t="s">
        <v>214</v>
      </c>
      <c r="C114" s="157">
        <f>+K15</f>
      </c>
      <c r="E114" s="157">
        <f>IF(F15="","",F15)</f>
      </c>
      <c r="F114" s="333">
        <f>+IF(E114="","",IF(E114&lt;4,1.3,IF(E114&lt;6,1.15,1)))</f>
      </c>
      <c r="G114" s="2"/>
      <c r="H114" s="334">
        <f>IF(OR(C114=0,E114=""),0,1)</f>
        <v>0</v>
      </c>
      <c r="I114" s="335" t="s">
        <v>578</v>
      </c>
      <c r="J114" s="336" t="str">
        <f>IF(C114="","*",IF(C115="","*",MAX(0.1,C114/C115)))</f>
        <v>*</v>
      </c>
      <c r="K114" s="2"/>
      <c r="L114" s="2"/>
    </row>
    <row r="115" spans="2:12" ht="15" customHeight="1">
      <c r="B115" s="2" t="s">
        <v>211</v>
      </c>
      <c r="C115" s="157">
        <f>+K16</f>
      </c>
      <c r="E115" s="157">
        <f>IF(F16="","",F16)</f>
      </c>
      <c r="F115" s="333">
        <f>+IF(E115="","",IF(E115&lt;4,1.3,IF(E115&lt;6,1.15,1)))</f>
      </c>
      <c r="H115" s="337">
        <f>IF(C114="",IF(C115=0,0,1),+F117)</f>
        <v>1</v>
      </c>
      <c r="I115" s="335" t="s">
        <v>579</v>
      </c>
      <c r="J115" s="336" t="str">
        <f>IF(C115="","*",IF(C116="","*",MAX(0.1,C115/C116)))</f>
        <v>*</v>
      </c>
      <c r="K115" s="2"/>
      <c r="L115" s="2"/>
    </row>
    <row r="116" spans="2:12" ht="15" customHeight="1">
      <c r="B116" s="2" t="s">
        <v>212</v>
      </c>
      <c r="C116" s="157">
        <f>+K17</f>
      </c>
      <c r="E116" s="157">
        <f>IF(F17="","",F17)</f>
      </c>
      <c r="F116" s="333">
        <f>+IF(E116="","",IF(C115="",1,IF(E116&lt;4,1.3,IF(E116&lt;6,1.15,1))))</f>
      </c>
      <c r="H116" s="337">
        <f>IF(F115=0,IF(C116=0,0,1),+F117)</f>
        <v>0</v>
      </c>
      <c r="I116" s="2"/>
      <c r="J116" s="2"/>
      <c r="K116" s="2"/>
      <c r="L116" s="2"/>
    </row>
    <row r="117" spans="2:12" ht="15" customHeight="1">
      <c r="B117" s="2"/>
      <c r="C117" s="157"/>
      <c r="F117" s="333">
        <f>+MAX(F114,F115,F116)</f>
        <v>0</v>
      </c>
      <c r="H117" s="333"/>
      <c r="I117" s="2"/>
      <c r="J117" s="2"/>
      <c r="K117" s="2"/>
      <c r="L117" s="2"/>
    </row>
    <row r="118" spans="1:12" ht="15" customHeight="1">
      <c r="A118" s="2"/>
      <c r="B118" s="332" t="s">
        <v>580</v>
      </c>
      <c r="C118" s="2"/>
      <c r="D118" s="2"/>
      <c r="E118" s="2"/>
      <c r="F118" s="2"/>
      <c r="G118" s="2"/>
      <c r="H118" s="2"/>
      <c r="I118" s="2"/>
      <c r="J118" s="2"/>
      <c r="K118" s="2"/>
      <c r="L118" s="2"/>
    </row>
    <row r="119" spans="1:12" ht="15" customHeight="1">
      <c r="A119" s="2" t="s">
        <v>581</v>
      </c>
      <c r="B119" s="2"/>
      <c r="C119" s="2"/>
      <c r="D119" s="2"/>
      <c r="F119" s="2"/>
      <c r="H119" s="2">
        <f>+O6</f>
        <v>0</v>
      </c>
      <c r="I119" s="2"/>
      <c r="J119" s="2"/>
      <c r="K119" s="2"/>
      <c r="L119" s="2"/>
    </row>
    <row r="120" spans="1:12" ht="15" customHeight="1">
      <c r="A120" s="2" t="s">
        <v>582</v>
      </c>
      <c r="B120" s="2"/>
      <c r="C120" s="2"/>
      <c r="D120" s="2"/>
      <c r="E120" s="2"/>
      <c r="F120" s="2"/>
      <c r="G120" s="2"/>
      <c r="H120" s="338"/>
      <c r="I120" s="2"/>
      <c r="J120" s="2"/>
      <c r="K120" s="2"/>
      <c r="L120" s="2"/>
    </row>
    <row r="121" spans="1:11" ht="15" customHeight="1">
      <c r="A121" s="2" t="s">
        <v>214</v>
      </c>
      <c r="B121" s="339" t="str">
        <f>IF(C114="","*",IF(H119=3,"k6＝1.04+0.13/Rf1+0.24/Rf2","k6＝1.23+0.1/Rf1+0.23/Rf2"))</f>
        <v>*</v>
      </c>
      <c r="C121" s="2"/>
      <c r="D121" s="2"/>
      <c r="E121" s="2"/>
      <c r="F121" s="2"/>
      <c r="G121" s="2"/>
      <c r="H121" s="2"/>
      <c r="I121" s="2"/>
      <c r="J121" s="2"/>
      <c r="K121" s="2"/>
    </row>
    <row r="122" spans="1:11" ht="15" customHeight="1">
      <c r="A122" s="2"/>
      <c r="B122" s="2"/>
      <c r="C122" s="340" t="s">
        <v>583</v>
      </c>
      <c r="D122" s="2"/>
      <c r="F122" s="340" t="s">
        <v>584</v>
      </c>
      <c r="G122" s="2"/>
      <c r="I122" s="335" t="str">
        <f>IF(C114="","*","k6")</f>
        <v>*</v>
      </c>
      <c r="J122" s="336" t="str">
        <f>IF(C114="","*",IF(H119=3,"0.64k6",IF(H119=2,"0.40k6",IF(H119=1,"0.28k6","未入力"))))</f>
        <v>*</v>
      </c>
      <c r="K122" s="2"/>
    </row>
    <row r="123" spans="1:11" ht="15" customHeight="1">
      <c r="A123" s="2"/>
      <c r="B123" s="335" t="str">
        <f>IF(C114="","*",IF(H119=3,"1.04+0.13/","1.23+0.1/"))</f>
        <v>*</v>
      </c>
      <c r="C123" s="336" t="str">
        <f>+J115</f>
        <v>*</v>
      </c>
      <c r="E123" s="335" t="str">
        <f>IF(C114="","*",IF(H119=3,"＋0.24/","＋0.23/"))</f>
        <v>*</v>
      </c>
      <c r="F123" s="336" t="str">
        <f>+J114</f>
        <v>*</v>
      </c>
      <c r="G123" s="331" t="s">
        <v>585</v>
      </c>
      <c r="I123" s="336" t="str">
        <f>IF(C114="","*",IF(F123="*","*",IF(H119=3,1.04+0.13/C123+0.24/F123,1.23+0.1/C123+0.23/F123)))</f>
        <v>*</v>
      </c>
      <c r="J123" s="336" t="str">
        <f>IF(C114="","*",IF(I123="*","*",IF(H119=3,0.64*I123,IF(H119=2,0.4*I123,IF(H119=1,0.28*I123,"*")))))</f>
        <v>*</v>
      </c>
      <c r="K123" s="2"/>
    </row>
    <row r="124" spans="1:11" ht="15" customHeight="1">
      <c r="A124" s="2"/>
      <c r="B124" s="2"/>
      <c r="C124" s="2"/>
      <c r="D124" s="2"/>
      <c r="E124" s="2"/>
      <c r="F124" s="2"/>
      <c r="G124" s="2"/>
      <c r="I124" s="2"/>
      <c r="J124" s="2"/>
      <c r="K124" s="2"/>
    </row>
    <row r="125" spans="1:11" ht="15" customHeight="1">
      <c r="A125" s="2" t="s">
        <v>211</v>
      </c>
      <c r="B125" s="339" t="str">
        <f>IF(C115="","*",IF(C114="",IF(H119=3,"k2=1.06+0.15/Rf1","k2=1.3+0.07/Rf1"),IF(H119=3,"k5＝0.98+0.1/Rf1+0.05/Rf2","k5＝1.03+0.1/Rf1+0.08/Rf2")))</f>
        <v>*</v>
      </c>
      <c r="C125" s="2"/>
      <c r="D125" s="2"/>
      <c r="E125" s="2"/>
      <c r="F125" s="2"/>
      <c r="I125" s="340" t="str">
        <f>IF(C115="","*",IF(C114="","k2","k5"))</f>
        <v>*</v>
      </c>
      <c r="J125" s="341" t="str">
        <f>IF(C115="","*",IF(C114="",IF(H119=3,"0.64k2",IF(H119=2,"0.40k2",IF(H119=1,"0.28k2","未入力"))),IF(H119=3,"1.22k4k5",IF(H119=2,"0.92k4k5",IF(H119=1,"0.72k4k5","未入力")))))</f>
        <v>*</v>
      </c>
      <c r="K125" s="342"/>
    </row>
    <row r="126" spans="1:11" ht="15" customHeight="1">
      <c r="A126" s="2"/>
      <c r="B126" s="340" t="str">
        <f>IF(C115="","*",IF(C114="",IF(H119=3,"1.06+0.15/","1.3+0.07/"),IF(H119=3,"0.98+0.1/","1.03+0.1/")))</f>
        <v>*</v>
      </c>
      <c r="C126" s="336" t="str">
        <f>+J115</f>
        <v>*</v>
      </c>
      <c r="E126" s="340" t="str">
        <f>IF(C115="","*",IF(C114="","*",IF(H119=3,"+0.05/","+0.08/")))</f>
        <v>*</v>
      </c>
      <c r="F126" s="343" t="str">
        <f>+J114</f>
        <v>*</v>
      </c>
      <c r="G126" s="331" t="s">
        <v>585</v>
      </c>
      <c r="I126" s="343" t="str">
        <f>IF(C115="","*",IF(C126="*","*",IF(C114="",IF(H119=3,1.06+0.15/C126,1.3+0.07/C126),IF(H119=3,0.98+0.1/C126+0.05/F126,1.03+0.1/C126+0.08/F126))))</f>
        <v>*</v>
      </c>
      <c r="J126" s="343" t="str">
        <f>IF(C115="","*",IF(C126="*","*",IF(C114="",IF(H119=3,0.64*I126,IF(H119=2,0.4*I126,IF(H119=1,0.28*I126,"*"))),IF(H119=3,1.22*I126*I128,IF(H119=2,0.92*I126*I128,IF(H119=1,0.72*I126*I128,"*"))))))</f>
        <v>*</v>
      </c>
      <c r="K126" s="2"/>
    </row>
    <row r="127" spans="1:11" ht="15" customHeight="1">
      <c r="A127" s="2"/>
      <c r="B127" s="339" t="str">
        <f>IF(C115="","*",IF(C114="","*",IF(H119=3,"k4＝0.53+0.47*Rf2","k4＝0.40+0.6*Rf2")))</f>
        <v>*</v>
      </c>
      <c r="C127" s="2"/>
      <c r="D127" s="2"/>
      <c r="E127" s="339"/>
      <c r="F127" s="2"/>
      <c r="I127" s="340" t="str">
        <f>IF(C115="","*",IF(C114="","*","k4"))</f>
        <v>*</v>
      </c>
      <c r="J127" s="2"/>
      <c r="K127" s="2"/>
    </row>
    <row r="128" spans="1:11" ht="15" customHeight="1">
      <c r="A128" s="2"/>
      <c r="B128" s="801" t="str">
        <f>IF(C115="","*",IF(C114="","*",IF(H119=3,"0.53+0.47×","0.40+0.6×")))</f>
        <v>*</v>
      </c>
      <c r="C128" s="484"/>
      <c r="D128" s="339"/>
      <c r="F128" s="336" t="str">
        <f>+J114</f>
        <v>*</v>
      </c>
      <c r="G128" s="331" t="s">
        <v>585</v>
      </c>
      <c r="I128" s="343" t="str">
        <f>IF(C115="","*",IF(C114="","*",IF(H119=3,0.53+0.47*F128,0.4+0.6*F128)))</f>
        <v>*</v>
      </c>
      <c r="J128" s="2"/>
      <c r="K128" s="2"/>
    </row>
    <row r="129" spans="1:11" ht="15" customHeight="1">
      <c r="A129" s="2"/>
      <c r="B129" s="2"/>
      <c r="C129" s="2"/>
      <c r="D129" s="2"/>
      <c r="E129" s="2"/>
      <c r="F129" s="2"/>
      <c r="G129" s="2"/>
      <c r="H129" s="338"/>
      <c r="I129" s="2"/>
      <c r="J129" s="2"/>
      <c r="K129" s="2"/>
    </row>
    <row r="130" spans="1:11" ht="15" customHeight="1">
      <c r="A130" s="2" t="s">
        <v>212</v>
      </c>
      <c r="B130" s="339" t="str">
        <f>IF(C115="","*",IF(C114="",IF(H119=3,"k1=0.53+0.47×Rf1","k1=0.40+0.6×Rf1"),IF(H119=3,"k3＝(0.36+0.64×Rf1)×(0.68+0.32×Rf2)","k3＝(0.25+0.75×Rf1)×(0.65+0.35×Rf2)")))</f>
        <v>*</v>
      </c>
      <c r="C130" s="2"/>
      <c r="D130" s="2"/>
      <c r="E130" s="339"/>
      <c r="F130" s="2"/>
      <c r="I130" s="340" t="str">
        <f>IF(C115="","*",IF(C114="","k1","k3"))</f>
        <v>*</v>
      </c>
      <c r="J130" s="343" t="str">
        <f>IF(C115="",IF(H119=3,"0.64",IF(H119=2,"0.40",IF(H119=1,"0.28","未入力"))),IF(C114="",IF(H119=3,"1.22k1",IF(H119=2,"0.92k1",IF(H119=1,"0.72k1","未入力"))),IF(H119=3,"1.80k3",IF(H119=2,"1.44k3",IF(H119=1,"1.16k3","未入力")))))</f>
        <v>未入力</v>
      </c>
      <c r="K130" s="2"/>
    </row>
    <row r="131" spans="1:11" ht="15" customHeight="1">
      <c r="A131" s="799" t="str">
        <f>IF(C115="","*",IF(C114="",IF(H119=3,"0.53+0.47×","0.40+0.6×"),IF(H119=3,"(0.36+0.64×","(0.25+0.75×")))</f>
        <v>*</v>
      </c>
      <c r="B131" s="800"/>
      <c r="C131" s="336" t="str">
        <f>+J115</f>
        <v>*</v>
      </c>
      <c r="E131" s="340" t="str">
        <f>IF(C115="","*",IF(C114="","*",IF(H119=3,")×(0.68+0.32×",")×(0.65+0.35×")))</f>
        <v>*</v>
      </c>
      <c r="F131" s="343" t="str">
        <f>+J114</f>
        <v>*</v>
      </c>
      <c r="G131" s="331" t="s">
        <v>587</v>
      </c>
      <c r="I131" s="343" t="str">
        <f>IF(C115="","*",IF(C114="",IF(H119=3,0.53+0.47*C131,0.4+0.6*C131),IF(H119=3,MIN(2,(0.36+0.64*C131)*(0.68+0.32*F131)),(0.25+0.75*C131)*(0.65+0.35*F131))))</f>
        <v>*</v>
      </c>
      <c r="J131" s="343" t="str">
        <f>IF(C115="",IF(H119=3,0.64,IF(H119=2,0.4,IF(H119=1,0.28,"*"))),IF(C114="",IF(H119=3,1.22*I131,IF(H119=2,0.92*I131,IF(H119=1,0.72*I131,"*"))),IF(H119=3,1.8*I131,IF(H119=2,1.44*I131,IF(H119=1,1.16*I131,"*")))))</f>
        <v>*</v>
      </c>
      <c r="K131" s="2"/>
    </row>
    <row r="132" spans="1:12" ht="15" customHeight="1">
      <c r="A132" s="344"/>
      <c r="B132" s="345"/>
      <c r="C132" s="336"/>
      <c r="E132" s="340"/>
      <c r="F132" s="343"/>
      <c r="G132" s="331"/>
      <c r="I132" s="343"/>
      <c r="J132" s="343"/>
      <c r="K132" s="2"/>
      <c r="L132" s="2"/>
    </row>
    <row r="133" spans="1:12" ht="15" customHeight="1">
      <c r="A133" s="344"/>
      <c r="B133" s="345"/>
      <c r="C133" s="336"/>
      <c r="E133" s="340"/>
      <c r="F133" s="343"/>
      <c r="G133" s="331"/>
      <c r="I133" s="343"/>
      <c r="J133" s="343"/>
      <c r="K133" s="2"/>
      <c r="L133" s="2"/>
    </row>
    <row r="134" spans="1:12" ht="15" customHeight="1">
      <c r="A134" s="2"/>
      <c r="B134" s="2"/>
      <c r="C134" s="2"/>
      <c r="D134" s="2"/>
      <c r="E134" s="2"/>
      <c r="F134" s="2"/>
      <c r="G134" s="2"/>
      <c r="H134" s="2"/>
      <c r="I134" s="2"/>
      <c r="J134" s="2"/>
      <c r="K134" s="2"/>
      <c r="L134" s="2"/>
    </row>
    <row r="135" spans="1:12" ht="15" customHeight="1">
      <c r="A135" s="716" t="s">
        <v>588</v>
      </c>
      <c r="B135" s="716"/>
      <c r="C135" s="716"/>
      <c r="D135" s="716"/>
      <c r="E135" s="716"/>
      <c r="F135" s="716"/>
      <c r="G135" s="716"/>
      <c r="H135" s="716"/>
      <c r="I135" s="716"/>
      <c r="J135" s="716"/>
      <c r="K135" s="716"/>
      <c r="L135" s="2"/>
    </row>
    <row r="136" spans="1:12" ht="15" customHeight="1">
      <c r="A136" s="716"/>
      <c r="B136" s="716"/>
      <c r="C136" s="716"/>
      <c r="D136" s="716"/>
      <c r="E136" s="716"/>
      <c r="F136" s="716"/>
      <c r="G136" s="716"/>
      <c r="H136" s="716"/>
      <c r="I136" s="716"/>
      <c r="J136" s="716"/>
      <c r="K136" s="716"/>
      <c r="L136" s="2"/>
    </row>
    <row r="137" spans="1:12" ht="15" customHeight="1">
      <c r="A137" s="2" t="s">
        <v>589</v>
      </c>
      <c r="B137" s="2"/>
      <c r="C137" s="2"/>
      <c r="D137" s="2"/>
      <c r="F137" s="2"/>
      <c r="G137" s="2"/>
      <c r="H137" s="2"/>
      <c r="I137" s="2"/>
      <c r="J137" s="2"/>
      <c r="K137" s="2"/>
      <c r="L137" s="2"/>
    </row>
    <row r="138" spans="1:12" ht="15" customHeight="1">
      <c r="A138" s="331" t="s">
        <v>590</v>
      </c>
      <c r="B138" s="2"/>
      <c r="C138" s="2"/>
      <c r="D138" s="2"/>
      <c r="F138" s="2"/>
      <c r="G138" s="349">
        <f>+D18</f>
      </c>
      <c r="H138" s="2"/>
      <c r="I138" s="350"/>
      <c r="J138" s="2"/>
      <c r="K138" s="2"/>
      <c r="L138" s="2"/>
    </row>
    <row r="139" spans="1:12" ht="15" customHeight="1">
      <c r="A139" s="331" t="s">
        <v>591</v>
      </c>
      <c r="B139" s="2"/>
      <c r="C139" s="2"/>
      <c r="D139" s="2"/>
      <c r="G139" s="2">
        <v>1</v>
      </c>
      <c r="H139" s="2"/>
      <c r="I139" s="335" t="s">
        <v>592</v>
      </c>
      <c r="J139" s="351">
        <f>IF(G139=2,1.5,1)</f>
        <v>1</v>
      </c>
      <c r="K139" s="2"/>
      <c r="L139" s="2"/>
    </row>
    <row r="140" spans="1:12" ht="15" customHeight="1">
      <c r="A140" s="2" t="s">
        <v>593</v>
      </c>
      <c r="B140" s="2"/>
      <c r="C140" s="2"/>
      <c r="D140" s="2"/>
      <c r="G140" s="2">
        <f>+O14</f>
        <v>0</v>
      </c>
      <c r="H140" s="2"/>
      <c r="I140" s="340" t="s">
        <v>594</v>
      </c>
      <c r="J140" s="351">
        <f>IF(G140=2,1.2,1)</f>
        <v>1</v>
      </c>
      <c r="K140" s="2"/>
      <c r="L140" s="2"/>
    </row>
    <row r="141" spans="1:12" ht="15" customHeight="1">
      <c r="A141" s="2"/>
      <c r="B141" s="716" t="s">
        <v>576</v>
      </c>
      <c r="C141" s="2"/>
      <c r="D141" s="352" t="s">
        <v>595</v>
      </c>
      <c r="F141" s="353" t="s">
        <v>596</v>
      </c>
      <c r="H141" s="353" t="s">
        <v>597</v>
      </c>
      <c r="J141" s="167" t="s">
        <v>598</v>
      </c>
      <c r="K141" s="80"/>
      <c r="L141" s="2"/>
    </row>
    <row r="142" spans="1:11" ht="15" customHeight="1">
      <c r="A142" s="2"/>
      <c r="B142" s="716"/>
      <c r="C142" s="335" t="s">
        <v>599</v>
      </c>
      <c r="D142" s="335" t="s">
        <v>600</v>
      </c>
      <c r="F142" s="335" t="s">
        <v>601</v>
      </c>
      <c r="H142" s="335" t="s">
        <v>602</v>
      </c>
      <c r="J142" s="335" t="s">
        <v>603</v>
      </c>
      <c r="K142" s="340" t="s">
        <v>604</v>
      </c>
    </row>
    <row r="143" spans="1:11" ht="15" customHeight="1">
      <c r="A143" s="2" t="s">
        <v>214</v>
      </c>
      <c r="B143" s="351">
        <f>+C114</f>
      </c>
      <c r="C143" s="336" t="str">
        <f>J123</f>
        <v>*</v>
      </c>
      <c r="D143" s="354" t="str">
        <f>IF(B143="","*",+G138)</f>
        <v>*</v>
      </c>
      <c r="E143" s="167"/>
      <c r="F143" s="354" t="str">
        <f>IF(B143="","*",J139)</f>
        <v>*</v>
      </c>
      <c r="H143" s="336">
        <f>IF(B143="","",H114)</f>
      </c>
      <c r="J143" s="354" t="str">
        <f>IF(B143="","*",IF(G140=2,J140,1))</f>
        <v>*</v>
      </c>
      <c r="K143" s="336">
        <f>IF(OR(B143="",E149="",D143="",H143=0),"",IF(C143="*","*",B143*C143*D143*F143*H143*J143))</f>
      </c>
    </row>
    <row r="144" spans="1:11" ht="15" customHeight="1">
      <c r="A144" s="2" t="s">
        <v>211</v>
      </c>
      <c r="B144" s="351">
        <f>+C115</f>
      </c>
      <c r="C144" s="336" t="str">
        <f>J126</f>
        <v>*</v>
      </c>
      <c r="D144" s="354" t="str">
        <f>IF(B144="","*",+G138)</f>
        <v>*</v>
      </c>
      <c r="F144" s="354" t="str">
        <f>IF(B144="","*",J139)</f>
        <v>*</v>
      </c>
      <c r="H144" s="157">
        <f>IF(B143="",1,H115)</f>
        <v>1</v>
      </c>
      <c r="J144" s="354" t="str">
        <f>IF(B144="","*",IF(G140=2,J140,1))</f>
        <v>*</v>
      </c>
      <c r="K144" s="336">
        <f>IF(OR(B144="",D144=""),"",IF(C144="*","",IF(B144*C144*D144*F144*H144*J144=0,"",B144*C144*D144*F144*H144*J144)))</f>
      </c>
    </row>
    <row r="145" spans="1:11" ht="15" customHeight="1">
      <c r="A145" s="3" t="s">
        <v>212</v>
      </c>
      <c r="B145" s="168">
        <f>+C116</f>
      </c>
      <c r="C145" s="61" t="str">
        <f>IF(G140=2,0,J131)</f>
        <v>*</v>
      </c>
      <c r="D145" s="168" t="str">
        <f>IF(B145="","*",+G138)</f>
        <v>*</v>
      </c>
      <c r="F145" s="168" t="str">
        <f>IF(B145="","*",J139)</f>
        <v>*</v>
      </c>
      <c r="H145" s="61">
        <f>IF(B144="",1,H116)</f>
        <v>1</v>
      </c>
      <c r="J145" s="168" t="str">
        <f>IF(B145="","*",1)</f>
        <v>*</v>
      </c>
      <c r="K145" s="355">
        <f>IF(G140=2,"",IF(OR(D145="",B145=""),"",IF(C145="*","",IF(B145*C145*D145*F145*H145*J145=0,"",B145*C145*D145*F145*H145*J145))))</f>
      </c>
    </row>
    <row r="146" spans="1:11" ht="15" customHeight="1">
      <c r="A146" s="161" t="s">
        <v>605</v>
      </c>
      <c r="B146" s="161"/>
      <c r="C146" s="356"/>
      <c r="D146" s="356"/>
      <c r="E146" s="356"/>
      <c r="F146" s="784" t="s">
        <v>606</v>
      </c>
      <c r="G146" s="787"/>
      <c r="H146" s="788"/>
      <c r="I146" s="161"/>
      <c r="J146" s="161"/>
      <c r="K146" s="356" t="s">
        <v>309</v>
      </c>
    </row>
    <row r="147" spans="1:11" ht="15" customHeight="1">
      <c r="A147" s="356"/>
      <c r="B147" s="356"/>
      <c r="C147" s="500" t="s">
        <v>607</v>
      </c>
      <c r="D147" s="500" t="s">
        <v>608</v>
      </c>
      <c r="E147" s="500" t="s">
        <v>609</v>
      </c>
      <c r="F147" s="785"/>
      <c r="G147" s="782"/>
      <c r="H147" s="789"/>
      <c r="I147" s="787"/>
      <c r="J147" s="501" t="s">
        <v>610</v>
      </c>
      <c r="K147" s="783" t="s">
        <v>611</v>
      </c>
    </row>
    <row r="148" spans="1:11" ht="15" customHeight="1">
      <c r="A148" s="170" t="s">
        <v>612</v>
      </c>
      <c r="B148" s="170" t="s">
        <v>613</v>
      </c>
      <c r="C148" s="501"/>
      <c r="D148" s="501"/>
      <c r="E148" s="501"/>
      <c r="F148" s="786"/>
      <c r="G148" s="782"/>
      <c r="H148" s="790"/>
      <c r="I148" s="782"/>
      <c r="J148" s="782"/>
      <c r="K148" s="782"/>
    </row>
    <row r="149" spans="1:11" ht="15" customHeight="1">
      <c r="A149" s="356">
        <v>3</v>
      </c>
      <c r="B149" s="161" t="s">
        <v>614</v>
      </c>
      <c r="C149" s="162">
        <f aca="true" t="shared" si="2" ref="C149:D154">+D43</f>
        <v>0</v>
      </c>
      <c r="D149" s="162">
        <f t="shared" si="2"/>
        <v>0</v>
      </c>
      <c r="E149" s="162">
        <f aca="true" t="shared" si="3" ref="E149:E154">+G43</f>
      </c>
      <c r="F149" s="169">
        <f>+K143</f>
      </c>
      <c r="G149" s="169"/>
      <c r="H149" s="357"/>
      <c r="I149" s="313"/>
      <c r="J149" s="313">
        <f>IF(OR(C149="",D149="",E149="",F149=""),"",C149*D149*E149)</f>
      </c>
      <c r="K149" s="313">
        <f>IF(OR(J149="",F149=""),"",ROUNDDOWN(J149/F149,2))</f>
      </c>
    </row>
    <row r="150" spans="1:11" ht="15" customHeight="1">
      <c r="A150" s="170"/>
      <c r="B150" s="161" t="s">
        <v>615</v>
      </c>
      <c r="C150" s="162">
        <f t="shared" si="2"/>
        <v>0</v>
      </c>
      <c r="D150" s="162">
        <f t="shared" si="2"/>
        <v>0</v>
      </c>
      <c r="E150" s="162">
        <f t="shared" si="3"/>
      </c>
      <c r="F150" s="169">
        <f>+K143</f>
      </c>
      <c r="G150" s="169"/>
      <c r="H150" s="357"/>
      <c r="I150" s="313"/>
      <c r="J150" s="313">
        <f>IF(OR(C150="",D150="",E150="",F150=""),"",C150*D150*E150)</f>
      </c>
      <c r="K150" s="313">
        <f>IF(OR(F150="",J150=""),"",ROUNDDOWN(J150/F150,2))</f>
      </c>
    </row>
    <row r="151" spans="1:11" ht="15" customHeight="1">
      <c r="A151" s="356">
        <v>2</v>
      </c>
      <c r="B151" s="161" t="s">
        <v>614</v>
      </c>
      <c r="C151" s="162">
        <f t="shared" si="2"/>
        <v>0</v>
      </c>
      <c r="D151" s="162">
        <f t="shared" si="2"/>
        <v>0</v>
      </c>
      <c r="E151" s="162">
        <f t="shared" si="3"/>
      </c>
      <c r="F151" s="169">
        <f>+K144</f>
      </c>
      <c r="G151" s="169"/>
      <c r="H151" s="357"/>
      <c r="I151" s="313"/>
      <c r="J151" s="313">
        <f>IF(OR(C151="",D151="",E151="",F151=""),"",C151*D151*E151)</f>
      </c>
      <c r="K151" s="313">
        <f>IF(OR(F151="",J151=""),"",ROUNDDOWN(J151/F151,2))</f>
      </c>
    </row>
    <row r="152" spans="1:11" ht="15" customHeight="1">
      <c r="A152" s="170"/>
      <c r="B152" s="161" t="s">
        <v>615</v>
      </c>
      <c r="C152" s="162">
        <f t="shared" si="2"/>
        <v>0</v>
      </c>
      <c r="D152" s="162">
        <f t="shared" si="2"/>
        <v>0</v>
      </c>
      <c r="E152" s="162">
        <f t="shared" si="3"/>
      </c>
      <c r="F152" s="169">
        <f>+K144</f>
      </c>
      <c r="G152" s="169"/>
      <c r="H152" s="357"/>
      <c r="I152" s="313"/>
      <c r="J152" s="313">
        <f>IF(OR(C152="",D152="",E152="",F152=""),"",C152*D152*E152)</f>
      </c>
      <c r="K152" s="313">
        <f>IF(OR(F152="",J152=""),"",ROUNDDOWN(J152/F152,2))</f>
      </c>
    </row>
    <row r="153" spans="1:11" ht="15" customHeight="1">
      <c r="A153" s="356">
        <v>1</v>
      </c>
      <c r="B153" s="161" t="s">
        <v>614</v>
      </c>
      <c r="C153" s="162">
        <f t="shared" si="2"/>
        <v>0</v>
      </c>
      <c r="D153" s="162">
        <f t="shared" si="2"/>
        <v>0</v>
      </c>
      <c r="E153" s="162">
        <f t="shared" si="3"/>
      </c>
      <c r="F153" s="357">
        <f>IF(G140=2,"",+K145)</f>
      </c>
      <c r="G153" s="169"/>
      <c r="H153" s="169"/>
      <c r="I153" s="313"/>
      <c r="J153" s="313">
        <f>IF(G140=2,"",IF(OR(C153="",D153="",E153="",F153=""),"",+C153*D153*E153))</f>
      </c>
      <c r="K153" s="313">
        <f>IF(G140=2,"",IF(OR(F153="",J153=""),"",ROUNDDOWN(J153/F153,2)))</f>
      </c>
    </row>
    <row r="154" spans="1:11" ht="15" customHeight="1">
      <c r="A154" s="170"/>
      <c r="B154" s="161" t="s">
        <v>615</v>
      </c>
      <c r="C154" s="162">
        <f t="shared" si="2"/>
        <v>0</v>
      </c>
      <c r="D154" s="162">
        <f t="shared" si="2"/>
        <v>0</v>
      </c>
      <c r="E154" s="162">
        <f t="shared" si="3"/>
      </c>
      <c r="F154" s="357">
        <f>+F153</f>
      </c>
      <c r="G154" s="169"/>
      <c r="H154" s="169"/>
      <c r="I154" s="313"/>
      <c r="J154" s="313">
        <f>IF(G140=2,"",IF(OR(C154="",D154="",E154="",F154=""),"",C154*D154*E154))</f>
      </c>
      <c r="K154" s="313">
        <f>IF(G140=2,"",IF(OR(F154="",J154=""),"",ROUNDDOWN(J154/F154,2)))</f>
      </c>
    </row>
  </sheetData>
  <sheetProtection sheet="1" objects="1" scenarios="1" formatCells="0" formatColumns="0" formatRows="0"/>
  <mergeCells count="156">
    <mergeCell ref="H78:I78"/>
    <mergeCell ref="J78:K78"/>
    <mergeCell ref="D76:E76"/>
    <mergeCell ref="F76:G76"/>
    <mergeCell ref="D77:E77"/>
    <mergeCell ref="F77:G77"/>
    <mergeCell ref="D78:E78"/>
    <mergeCell ref="F78:G78"/>
    <mergeCell ref="J73:K73"/>
    <mergeCell ref="N75:O75"/>
    <mergeCell ref="H76:I76"/>
    <mergeCell ref="J76:K76"/>
    <mergeCell ref="H77:I77"/>
    <mergeCell ref="J77:K77"/>
    <mergeCell ref="N70:O70"/>
    <mergeCell ref="H71:I71"/>
    <mergeCell ref="J71:K71"/>
    <mergeCell ref="H72:I72"/>
    <mergeCell ref="J72:K72"/>
    <mergeCell ref="D71:E71"/>
    <mergeCell ref="F71:G71"/>
    <mergeCell ref="D72:E72"/>
    <mergeCell ref="F72:G72"/>
    <mergeCell ref="D73:E73"/>
    <mergeCell ref="F73:G73"/>
    <mergeCell ref="H73:I73"/>
    <mergeCell ref="B68:C68"/>
    <mergeCell ref="D68:E68"/>
    <mergeCell ref="F68:G68"/>
    <mergeCell ref="N65:O65"/>
    <mergeCell ref="H66:I66"/>
    <mergeCell ref="J66:K66"/>
    <mergeCell ref="H67:I67"/>
    <mergeCell ref="J67:K67"/>
    <mergeCell ref="H68:I68"/>
    <mergeCell ref="J63:K63"/>
    <mergeCell ref="J68:K68"/>
    <mergeCell ref="B66:C66"/>
    <mergeCell ref="D66:E66"/>
    <mergeCell ref="F66:G66"/>
    <mergeCell ref="B67:C67"/>
    <mergeCell ref="D67:E67"/>
    <mergeCell ref="F67:G67"/>
    <mergeCell ref="F50:G50"/>
    <mergeCell ref="B63:C63"/>
    <mergeCell ref="D63:E63"/>
    <mergeCell ref="F63:G63"/>
    <mergeCell ref="N60:O60"/>
    <mergeCell ref="H61:I61"/>
    <mergeCell ref="J61:K61"/>
    <mergeCell ref="H62:I62"/>
    <mergeCell ref="J62:K62"/>
    <mergeCell ref="H63:I63"/>
    <mergeCell ref="E46:F46"/>
    <mergeCell ref="H47:I47"/>
    <mergeCell ref="J47:J48"/>
    <mergeCell ref="E48:F48"/>
    <mergeCell ref="H48:I48"/>
    <mergeCell ref="B62:C62"/>
    <mergeCell ref="D62:E62"/>
    <mergeCell ref="F62:G62"/>
    <mergeCell ref="B61:C61"/>
    <mergeCell ref="D61:E61"/>
    <mergeCell ref="F61:G61"/>
    <mergeCell ref="E43:F43"/>
    <mergeCell ref="E47:F47"/>
    <mergeCell ref="H43:I43"/>
    <mergeCell ref="J43:J44"/>
    <mergeCell ref="E44:F44"/>
    <mergeCell ref="H44:I44"/>
    <mergeCell ref="E45:F45"/>
    <mergeCell ref="H45:I45"/>
    <mergeCell ref="J45:J46"/>
    <mergeCell ref="G37:K37"/>
    <mergeCell ref="B35:E35"/>
    <mergeCell ref="B40:B42"/>
    <mergeCell ref="D40:D41"/>
    <mergeCell ref="E40:F42"/>
    <mergeCell ref="B37:E37"/>
    <mergeCell ref="G9:K9"/>
    <mergeCell ref="A32:E32"/>
    <mergeCell ref="G33:K33"/>
    <mergeCell ref="F32:K32"/>
    <mergeCell ref="G34:K34"/>
    <mergeCell ref="K41:K42"/>
    <mergeCell ref="B33:E33"/>
    <mergeCell ref="B36:E36"/>
    <mergeCell ref="G40:G42"/>
    <mergeCell ref="B34:E34"/>
    <mergeCell ref="J1:K1"/>
    <mergeCell ref="H2:K2"/>
    <mergeCell ref="A6:D6"/>
    <mergeCell ref="B7:D7"/>
    <mergeCell ref="F6:K6"/>
    <mergeCell ref="G7:K7"/>
    <mergeCell ref="A3:K3"/>
    <mergeCell ref="A4:K5"/>
    <mergeCell ref="G10:K10"/>
    <mergeCell ref="G11:K11"/>
    <mergeCell ref="B8:D8"/>
    <mergeCell ref="B9:D9"/>
    <mergeCell ref="B11:D11"/>
    <mergeCell ref="F13:F14"/>
    <mergeCell ref="A10:D10"/>
    <mergeCell ref="J13:J14"/>
    <mergeCell ref="B12:D12"/>
    <mergeCell ref="G8:K8"/>
    <mergeCell ref="A31:K31"/>
    <mergeCell ref="A17:C17"/>
    <mergeCell ref="B30:K30"/>
    <mergeCell ref="G35:K35"/>
    <mergeCell ref="G36:K36"/>
    <mergeCell ref="A14:D14"/>
    <mergeCell ref="B29:K29"/>
    <mergeCell ref="B25:K25"/>
    <mergeCell ref="B26:K26"/>
    <mergeCell ref="I13:I14"/>
    <mergeCell ref="A41:A42"/>
    <mergeCell ref="H40:I42"/>
    <mergeCell ref="J40:J42"/>
    <mergeCell ref="A43:A44"/>
    <mergeCell ref="A47:A48"/>
    <mergeCell ref="A45:A46"/>
    <mergeCell ref="B45:B46"/>
    <mergeCell ref="B47:B48"/>
    <mergeCell ref="B43:B44"/>
    <mergeCell ref="H46:I46"/>
    <mergeCell ref="B13:D13"/>
    <mergeCell ref="B22:K22"/>
    <mergeCell ref="K13:K14"/>
    <mergeCell ref="F18:K18"/>
    <mergeCell ref="B16:D16"/>
    <mergeCell ref="B23:K23"/>
    <mergeCell ref="G13:G14"/>
    <mergeCell ref="B18:C18"/>
    <mergeCell ref="B19:C19"/>
    <mergeCell ref="C147:C148"/>
    <mergeCell ref="D147:D148"/>
    <mergeCell ref="E147:E148"/>
    <mergeCell ref="H13:H14"/>
    <mergeCell ref="B109:K110"/>
    <mergeCell ref="B24:K24"/>
    <mergeCell ref="A21:K21"/>
    <mergeCell ref="B15:D15"/>
    <mergeCell ref="B27:K27"/>
    <mergeCell ref="B28:K28"/>
    <mergeCell ref="I147:I148"/>
    <mergeCell ref="J147:J148"/>
    <mergeCell ref="K147:K148"/>
    <mergeCell ref="B128:C128"/>
    <mergeCell ref="A131:B131"/>
    <mergeCell ref="A135:K136"/>
    <mergeCell ref="B141:B142"/>
    <mergeCell ref="F146:F148"/>
    <mergeCell ref="G146:G148"/>
    <mergeCell ref="H146:H148"/>
  </mergeCells>
  <printOptions/>
  <pageMargins left="0.984251968503937" right="0.5905511811023623" top="0.5905511811023623" bottom="0.5905511811023623" header="0.31496062992125984" footer="0.31496062992125984"/>
  <pageSetup horizontalDpi="300" verticalDpi="300" orientation="portrait" paperSize="9" r:id="rId2"/>
  <rowBreaks count="1" manualBreakCount="1">
    <brk id="55" max="10" man="1"/>
  </rowBreaks>
  <legacyDrawing r:id="rId1"/>
</worksheet>
</file>

<file path=xl/worksheets/sheet9.xml><?xml version="1.0" encoding="utf-8"?>
<worksheet xmlns="http://schemas.openxmlformats.org/spreadsheetml/2006/main" xmlns:r="http://schemas.openxmlformats.org/officeDocument/2006/relationships">
  <dimension ref="A1:O46"/>
  <sheetViews>
    <sheetView zoomScalePageLayoutView="0" workbookViewId="0" topLeftCell="A21">
      <selection activeCell="I5" sqref="I5:L5"/>
    </sheetView>
  </sheetViews>
  <sheetFormatPr defaultColWidth="5.77734375" defaultRowHeight="15" customHeight="1"/>
  <cols>
    <col min="1" max="16384" width="5.77734375" style="3" customWidth="1"/>
  </cols>
  <sheetData>
    <row r="1" spans="13:15" ht="15" customHeight="1">
      <c r="M1" s="76"/>
      <c r="N1" s="94"/>
      <c r="O1" s="83"/>
    </row>
    <row r="3" ht="15" customHeight="1">
      <c r="F3" s="3" t="s">
        <v>298</v>
      </c>
    </row>
    <row r="5" spans="5:15" ht="15" customHeight="1">
      <c r="E5" s="427" t="s">
        <v>97</v>
      </c>
      <c r="F5" s="428"/>
      <c r="G5" s="428"/>
      <c r="H5" s="429"/>
      <c r="I5" s="960"/>
      <c r="J5" s="961"/>
      <c r="K5" s="961"/>
      <c r="L5" s="962"/>
      <c r="O5" s="363"/>
    </row>
    <row r="6" spans="1:15" ht="15" customHeight="1">
      <c r="A6" s="82"/>
      <c r="B6" s="80"/>
      <c r="C6" s="80"/>
      <c r="D6" s="80"/>
      <c r="E6" s="80"/>
      <c r="H6" s="107"/>
      <c r="I6" s="107"/>
      <c r="J6" s="107"/>
      <c r="K6" s="107"/>
      <c r="L6" s="107"/>
      <c r="O6" s="363"/>
    </row>
    <row r="7" spans="3:15" ht="15" customHeight="1">
      <c r="C7" s="3" t="s">
        <v>111</v>
      </c>
      <c r="F7" s="397" t="s">
        <v>733</v>
      </c>
      <c r="G7" s="397"/>
      <c r="H7" s="3" t="s">
        <v>51</v>
      </c>
      <c r="I7" s="35"/>
      <c r="J7" s="3" t="s">
        <v>52</v>
      </c>
      <c r="K7" s="35"/>
      <c r="L7" s="3" t="s">
        <v>53</v>
      </c>
      <c r="O7" s="363"/>
    </row>
    <row r="8" spans="4:15" ht="15" customHeight="1">
      <c r="D8" s="1"/>
      <c r="F8" s="1"/>
      <c r="G8" s="2"/>
      <c r="O8" s="363"/>
    </row>
    <row r="9" ht="15" customHeight="1">
      <c r="O9" s="363"/>
    </row>
    <row r="10" ht="15" customHeight="1">
      <c r="O10" s="363"/>
    </row>
    <row r="13" ht="30" customHeight="1">
      <c r="C13" s="101" t="s">
        <v>669</v>
      </c>
    </row>
    <row r="15" ht="15" customHeight="1">
      <c r="C15" s="363"/>
    </row>
    <row r="16" ht="15" customHeight="1">
      <c r="C16" s="363"/>
    </row>
    <row r="17" ht="15" customHeight="1">
      <c r="C17" s="363"/>
    </row>
    <row r="18" ht="15" customHeight="1">
      <c r="C18" s="363"/>
    </row>
    <row r="19" ht="15" customHeight="1">
      <c r="C19" s="363"/>
    </row>
    <row r="20" ht="15" customHeight="1">
      <c r="C20" s="363"/>
    </row>
    <row r="22" spans="3:10" ht="19.5" customHeight="1">
      <c r="C22" s="3" t="s">
        <v>705</v>
      </c>
      <c r="F22" s="963"/>
      <c r="G22" s="964"/>
      <c r="H22" s="964"/>
      <c r="I22" s="964"/>
      <c r="J22" s="3" t="s">
        <v>59</v>
      </c>
    </row>
    <row r="24" spans="3:11" ht="15" customHeight="1">
      <c r="C24" s="3" t="s">
        <v>445</v>
      </c>
      <c r="E24" s="397" t="s">
        <v>733</v>
      </c>
      <c r="F24" s="397"/>
      <c r="G24" s="3" t="s">
        <v>51</v>
      </c>
      <c r="H24" s="35"/>
      <c r="I24" s="3" t="s">
        <v>52</v>
      </c>
      <c r="J24" s="35"/>
      <c r="K24" s="3" t="s">
        <v>53</v>
      </c>
    </row>
    <row r="26" ht="15" customHeight="1">
      <c r="K26" s="97"/>
    </row>
    <row r="28" spans="3:11" ht="15" customHeight="1">
      <c r="C28" s="958" t="s">
        <v>650</v>
      </c>
      <c r="D28" s="959"/>
      <c r="E28" s="965"/>
      <c r="F28" s="966"/>
      <c r="G28" s="966"/>
      <c r="H28" s="966"/>
      <c r="I28" s="966"/>
      <c r="J28" s="966"/>
      <c r="K28" s="966"/>
    </row>
    <row r="30" spans="3:11" ht="15" customHeight="1">
      <c r="C30" s="958" t="s">
        <v>651</v>
      </c>
      <c r="D30" s="959"/>
      <c r="E30" s="965"/>
      <c r="F30" s="966"/>
      <c r="G30" s="966"/>
      <c r="H30" s="966"/>
      <c r="I30" s="966"/>
      <c r="J30" s="966"/>
      <c r="K30" s="966"/>
    </row>
    <row r="32" spans="3:11" ht="15" customHeight="1">
      <c r="C32" s="97" t="s">
        <v>706</v>
      </c>
      <c r="D32" s="97"/>
      <c r="E32" s="97"/>
      <c r="F32" s="97"/>
      <c r="G32" s="960"/>
      <c r="H32" s="890"/>
      <c r="I32" s="890"/>
      <c r="J32" s="890"/>
      <c r="K32" s="891"/>
    </row>
    <row r="34" spans="3:11" ht="15" customHeight="1">
      <c r="C34" s="2" t="s">
        <v>79</v>
      </c>
      <c r="G34" s="436"/>
      <c r="H34" s="437"/>
      <c r="I34" s="437"/>
      <c r="J34" s="437"/>
      <c r="K34" s="438"/>
    </row>
    <row r="35" spans="3:11" ht="15" customHeight="1">
      <c r="C35" s="3" t="s">
        <v>80</v>
      </c>
      <c r="G35" s="433"/>
      <c r="H35" s="439"/>
      <c r="I35" s="439"/>
      <c r="J35" s="439"/>
      <c r="K35" s="440"/>
    </row>
    <row r="36" spans="7:11" ht="15" customHeight="1">
      <c r="G36" s="229" t="s">
        <v>81</v>
      </c>
      <c r="H36" s="411"/>
      <c r="I36" s="412"/>
      <c r="J36" s="412"/>
      <c r="K36" s="413"/>
    </row>
    <row r="37" spans="7:11" ht="15" customHeight="1">
      <c r="G37" s="230" t="s">
        <v>82</v>
      </c>
      <c r="H37" s="957"/>
      <c r="I37" s="434"/>
      <c r="J37" s="434"/>
      <c r="K37" s="435"/>
    </row>
    <row r="38" spans="3:11" ht="15" customHeight="1">
      <c r="C38" s="2" t="s">
        <v>345</v>
      </c>
      <c r="G38" s="433" t="s">
        <v>745</v>
      </c>
      <c r="H38" s="434"/>
      <c r="I38" s="434"/>
      <c r="J38" s="434"/>
      <c r="K38" s="435"/>
    </row>
    <row r="39" spans="3:11" ht="15" customHeight="1">
      <c r="C39" s="2" t="s">
        <v>154</v>
      </c>
      <c r="E39" s="1"/>
      <c r="F39" s="1"/>
      <c r="G39" s="433" t="s">
        <v>728</v>
      </c>
      <c r="H39" s="434"/>
      <c r="I39" s="434"/>
      <c r="J39" s="434"/>
      <c r="K39" s="435"/>
    </row>
    <row r="40" spans="3:11" ht="15" customHeight="1">
      <c r="C40" s="2" t="s">
        <v>83</v>
      </c>
      <c r="G40" s="424"/>
      <c r="H40" s="425"/>
      <c r="I40" s="425"/>
      <c r="J40" s="426"/>
      <c r="K40" s="151" t="s">
        <v>332</v>
      </c>
    </row>
    <row r="42" ht="15" customHeight="1">
      <c r="L42" s="76"/>
    </row>
    <row r="43" spans="1:11" ht="15" customHeight="1">
      <c r="A43" s="416" t="s">
        <v>127</v>
      </c>
      <c r="B43" s="417"/>
      <c r="C43" s="8"/>
      <c r="D43" s="9"/>
      <c r="E43" s="9"/>
      <c r="F43" s="9"/>
      <c r="G43" s="9"/>
      <c r="H43" s="9"/>
      <c r="I43" s="9"/>
      <c r="J43" s="9"/>
      <c r="K43" s="77"/>
    </row>
    <row r="44" spans="1:11" ht="15" customHeight="1">
      <c r="A44" s="418"/>
      <c r="B44" s="419"/>
      <c r="C44" s="13"/>
      <c r="K44" s="10"/>
    </row>
    <row r="45" spans="1:11" ht="15" customHeight="1">
      <c r="A45" s="418"/>
      <c r="B45" s="419"/>
      <c r="C45" s="13"/>
      <c r="K45" s="10"/>
    </row>
    <row r="46" spans="1:11" ht="15" customHeight="1">
      <c r="A46" s="420"/>
      <c r="B46" s="421"/>
      <c r="C46" s="14"/>
      <c r="D46" s="4"/>
      <c r="E46" s="4"/>
      <c r="F46" s="4"/>
      <c r="G46" s="4"/>
      <c r="H46" s="4"/>
      <c r="I46" s="4"/>
      <c r="J46" s="4"/>
      <c r="K46" s="11"/>
    </row>
  </sheetData>
  <sheetProtection sheet="1" objects="1" scenarios="1" formatCells="0" formatColumns="0" formatRows="0"/>
  <mergeCells count="16">
    <mergeCell ref="E5:H5"/>
    <mergeCell ref="I5:L5"/>
    <mergeCell ref="F22:I22"/>
    <mergeCell ref="G34:K34"/>
    <mergeCell ref="G35:K35"/>
    <mergeCell ref="H36:K36"/>
    <mergeCell ref="G32:K32"/>
    <mergeCell ref="E28:K28"/>
    <mergeCell ref="E30:K30"/>
    <mergeCell ref="H37:K37"/>
    <mergeCell ref="G38:K38"/>
    <mergeCell ref="G39:K39"/>
    <mergeCell ref="G40:J40"/>
    <mergeCell ref="A43:B46"/>
    <mergeCell ref="C28:D28"/>
    <mergeCell ref="C30:D30"/>
  </mergeCells>
  <printOptions/>
  <pageMargins left="0.984251968503937" right="0.5905511811023623" top="0.5905511811023623" bottom="0.5905511811023623" header="0.31496062992125984" footer="0.3149606299212598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既定</dc:creator>
  <cp:keywords/>
  <dc:description>木造耐震診断　基本プログラムの検討、ロータスからの変換</dc:description>
  <cp:lastModifiedBy>耐震 士会</cp:lastModifiedBy>
  <cp:lastPrinted>2024-06-23T01:33:28Z</cp:lastPrinted>
  <dcterms:created xsi:type="dcterms:W3CDTF">2004-01-27T09:58:02Z</dcterms:created>
  <dcterms:modified xsi:type="dcterms:W3CDTF">2024-06-24T07:23:28Z</dcterms:modified>
  <cp:category/>
  <cp:version/>
  <cp:contentType/>
  <cp:contentStatus/>
</cp:coreProperties>
</file>